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6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<sst xmlns="http://schemas.openxmlformats.org/spreadsheetml/2006/main" count="3789" uniqueCount="2997">
  <si>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</si>
  <si>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</si>
  <si>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</si>
  <si>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</si>
  <si>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</si>
  <si>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</si>
  <si>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</si>
  <si>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</si>
  <si>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</si>
  <si>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</si>
  <si>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</si>
  <si>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</si>
  <si>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</si>
  <si>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</si>
  <si>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</si>
  <si>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</si>
  <si>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</si>
  <si>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</si>
  <si>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</si>
  <si>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</si>
  <si>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</si>
  <si>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</si>
  <si>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</si>
  <si>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</si>
  <si>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</si>
  <si>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</si>
  <si>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</si>
  <si>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</si>
  <si>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</si>
  <si>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</si>
  <si>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</si>
  <si>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</si>
  <si>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</si>
  <si>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</si>
  <si>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</si>
  <si>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</si>
  <si>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</si>
  <si>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</si>
  <si>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</si>
  <si>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</si>
  <si>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</si>
  <si>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</si>
  <si>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</si>
  <si>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</si>
  <si>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</si>
  <si>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</si>
  <si>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</si>
  <si>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</si>
  <si>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</si>
  <si>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</si>
  <si>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</si>
  <si>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</si>
  <si>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</si>
  <si>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</si>
  <si>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</si>
  <si>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</si>
  <si>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</si>
  <si>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</si>
  <si>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</si>
  <si>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</si>
  <si>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</si>
  <si>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</si>
  <si>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</si>
  <si>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</si>
  <si>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</si>
  <si>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</si>
  <si>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</si>
  <si>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</si>
  <si>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</si>
  <si>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</si>
  <si>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</si>
  <si>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</si>
  <si>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</si>
  <si>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</si>
  <si>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</si>
  <si>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</si>
  <si>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</si>
  <si>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</si>
  <si>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</si>
  <si>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</si>
  <si>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</si>
  <si>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</si>
  <si>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</si>
  <si>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</si>
  <si>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</si>
  <si>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</si>
  <si>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</si>
  <si>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</si>
  <si>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</si>
  <si>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</si>
  <si>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</si>
  <si>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</si>
  <si>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</si>
  <si>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</si>
  <si>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</si>
  <si>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</si>
  <si>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</si>
  <si>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</si>
  <si>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</si>
  <si>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</si>
  <si>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</si>
  <si>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</si>
  <si>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</si>
  <si>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</si>
  <si>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</si>
  <si>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</si>
  <si>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</si>
  <si>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</si>
  <si>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</si>
  <si>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</si>
  <si>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</si>
  <si>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</si>
  <si>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</si>
  <si>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</si>
  <si>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</si>
  <si>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</si>
  <si>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</si>
  <si>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</si>
  <si>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</si>
  <si>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</si>
  <si>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</si>
  <si>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</si>
  <si>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</si>
  <si>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</si>
  <si>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</si>
  <si>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</si>
  <si>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</si>
  <si>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</si>
  <si>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</si>
  <si>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</si>
  <si>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</si>
  <si>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</si>
  <si>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</si>
  <si>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</si>
  <si>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</si>
  <si>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</si>
  <si>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</si>
  <si>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</si>
  <si>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</si>
  <si>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</si>
  <si>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</si>
  <si>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</si>
  <si>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</si>
  <si>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</si>
  <si>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</si>
  <si>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</si>
  <si>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</si>
  <si>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</si>
  <si>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</si>
  <si>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</si>
  <si>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</si>
  <si>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</si>
  <si>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</si>
  <si>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</si>
  <si>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</si>
  <si>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</si>
  <si>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</si>
  <si>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</si>
  <si>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</si>
  <si>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</si>
  <si>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</si>
  <si>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</si>
  <si>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</si>
  <si>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</si>
  <si>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</si>
  <si>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</si>
  <si>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</si>
  <si>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</si>
  <si>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</si>
  <si>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</si>
  <si>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</si>
  <si>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</si>
  <si>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</si>
  <si>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</si>
  <si>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</si>
  <si>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</si>
  <si>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</si>
  <si>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</si>
  <si>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</si>
  <si>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</si>
  <si>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</si>
  <si>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</si>
  <si>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</si>
  <si>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</si>
  <si>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</si>
  <si>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</si>
  <si>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</si>
  <si>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</si>
  <si>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</si>
  <si>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</si>
  <si>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</si>
  <si>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</si>
  <si>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</si>
  <si>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</si>
  <si>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</si>
  <si>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</si>
  <si>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</si>
  <si>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</si>
  <si>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</si>
  <si>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</si>
  <si>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</si>
  <si>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</si>
  <si>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</si>
  <si>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</si>
  <si>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</si>
  <si>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</si>
  <si>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</si>
  <si>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</si>
  <si>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</si>
  <si>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</si>
  <si>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</si>
  <si>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</si>
  <si>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</si>
  <si>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</si>
  <si>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</si>
  <si>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</si>
  <si>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</si>
  <si>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</si>
  <si>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</si>
  <si>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</si>
  <si>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</si>
  <si>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</si>
  <si>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</si>
  <si>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</si>
  <si>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</si>
  <si>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</si>
  <si>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</si>
  <si>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</si>
  <si>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</si>
  <si>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</si>
  <si>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</si>
  <si>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</si>
  <si>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</si>
  <si>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</si>
  <si>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</si>
  <si>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</si>
  <si>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</si>
  <si>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</si>
  <si>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</si>
  <si>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</si>
  <si>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</si>
  <si>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</si>
  <si>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</si>
  <si>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</si>
  <si>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</si>
  <si>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</si>
  <si>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</si>
  <si>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</si>
  <si>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</si>
  <si>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</si>
  <si>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</si>
  <si>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</si>
  <si>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</si>
  <si>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</si>
  <si>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</si>
  <si>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</si>
  <si>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</si>
  <si>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</si>
  <si>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</si>
  <si>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</si>
  <si>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</si>
  <si>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</si>
  <si>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</si>
  <si>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</si>
  <si>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</si>
  <si>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</si>
  <si>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</si>
  <si>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</si>
  <si>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</si>
  <si>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</si>
  <si>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</si>
  <si>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</si>
  <si>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</si>
  <si>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</si>
  <si>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</si>
  <si>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</si>
  <si>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</si>
  <si>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</si>
  <si>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</si>
  <si>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</si>
  <si>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</si>
  <si>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</si>
  <si>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</si>
  <si>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</si>
  <si>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</si>
  <si>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</si>
  <si>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</si>
  <si>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</si>
  <si>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</si>
  <si>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</si>
  <si>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</si>
  <si>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</si>
  <si>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</si>
  <si>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</si>
  <si>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</si>
  <si>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</si>
  <si>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</si>
  <si>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</si>
  <si>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</si>
  <si>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</si>
  <si>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</si>
  <si>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</si>
  <si>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</si>
  <si>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</si>
  <si>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</si>
  <si>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</si>
  <si>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</si>
  <si>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</si>
  <si>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</si>
  <si>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</si>
  <si>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</si>
  <si>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</si>
  <si>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</si>
  <si>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</si>
  <si>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</si>
  <si>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</si>
  <si>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</si>
  <si>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</si>
  <si>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</si>
  <si>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</si>
  <si>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</si>
  <si>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</si>
  <si>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</si>
  <si>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</si>
  <si>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</si>
  <si>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</si>
  <si>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</si>
  <si>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</si>
  <si>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</si>
  <si>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</si>
  <si>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</si>
  <si>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</si>
  <si>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</si>
  <si>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</si>
  <si>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</si>
  <si>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</si>
  <si>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</si>
  <si>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</si>
  <si>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</si>
  <si>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</si>
  <si>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</si>
  <si>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</si>
  <si>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</si>
  <si>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</si>
  <si>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</si>
  <si>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</si>
  <si>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</si>
  <si>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</si>
  <si>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</si>
  <si>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</si>
  <si>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</si>
  <si>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</si>
  <si>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</si>
  <si>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</si>
  <si>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</si>
  <si>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</si>
  <si>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</si>
  <si>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</si>
  <si>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</si>
  <si>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</si>
  <si>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</si>
  <si>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</si>
  <si>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</si>
  <si>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</si>
  <si>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</si>
  <si>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</si>
  <si>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</si>
  <si>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</si>
  <si>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</si>
  <si>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</si>
  <si>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</si>
  <si>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</si>
  <si>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</si>
  <si>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</si>
  <si>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</si>
  <si>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</si>
  <si>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</si>
  <si>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</si>
  <si>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</si>
  <si>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</si>
  <si>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</si>
  <si>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</si>
  <si>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</si>
  <si>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</si>
  <si>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</si>
  <si>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</si>
  <si>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</si>
  <si>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</si>
  <si>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</si>
  <si>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</si>
  <si>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</si>
  <si>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</si>
  <si>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</si>
  <si>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</si>
  <si>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</si>
  <si>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</si>
  <si>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</si>
  <si>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</si>
  <si>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</si>
  <si>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</si>
  <si>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</si>
  <si>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</si>
  <si>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</si>
  <si>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</si>
  <si>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</si>
  <si>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</si>
  <si>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</si>
  <si>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</si>
  <si>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</si>
  <si>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</si>
  <si>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</si>
  <si>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</si>
  <si>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</si>
  <si>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</si>
  <si>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</si>
  <si>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</si>
  <si>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</si>
  <si>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</si>
  <si>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</si>
  <si>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</si>
  <si>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</si>
  <si>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</si>
  <si>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</si>
  <si>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</si>
  <si>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</si>
  <si>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</si>
  <si>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</si>
  <si>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</si>
  <si>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</si>
  <si>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</si>
  <si>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</si>
  <si>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</si>
  <si>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</si>
  <si>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</si>
  <si>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</si>
  <si>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</si>
  <si>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</si>
  <si>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</si>
  <si>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</si>
  <si>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</si>
  <si>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</si>
  <si>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</si>
  <si>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</si>
  <si>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</si>
  <si>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</si>
  <si>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</si>
  <si>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</si>
  <si>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</si>
  <si>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</si>
  <si>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</si>
  <si>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</si>
  <si>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</si>
  <si>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</si>
  <si>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</si>
  <si>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</si>
  <si>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</si>
  <si>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</si>
  <si>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</si>
  <si>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</si>
  <si>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</si>
  <si>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</si>
  <si>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</si>
  <si>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</si>
  <si>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</si>
  <si>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</si>
  <si>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</si>
  <si>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</si>
  <si>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</si>
  <si>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</si>
  <si>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</si>
  <si>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</si>
  <si>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</si>
  <si>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</si>
  <si>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</si>
  <si>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</si>
  <si>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</si>
  <si>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</si>
  <si>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</si>
  <si>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</si>
  <si>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</si>
  <si>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</si>
  <si>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</si>
  <si>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</si>
  <si>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</si>
  <si>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</si>
  <si>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</si>
  <si>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</si>
  <si>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</si>
  <si>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</si>
  <si>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</si>
  <si>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</si>
  <si>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</si>
  <si>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</si>
  <si>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</si>
  <si>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</si>
  <si>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</si>
  <si>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</si>
  <si>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</si>
  <si>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</si>
  <si>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</si>
  <si>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</si>
  <si>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</si>
  <si>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</si>
  <si>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</si>
  <si>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</si>
  <si>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</si>
  <si>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</si>
  <si>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</si>
  <si>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</si>
  <si>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</si>
  <si>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</si>
  <si>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</si>
  <si>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</si>
  <si>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</si>
  <si>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</si>
  <si>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</si>
  <si>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</si>
  <si>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</si>
  <si>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</si>
  <si>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</si>
  <si>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</si>
  <si>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</si>
  <si>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</si>
  <si>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</si>
  <si>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</si>
  <si>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</si>
  <si>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</si>
  <si>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</si>
  <si>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</si>
  <si>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</si>
  <si>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</si>
  <si>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</si>
  <si>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</si>
  <si>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</si>
  <si>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</si>
  <si>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</si>
  <si>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</si>
  <si>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</si>
  <si>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</si>
  <si>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</si>
  <si>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</si>
  <si>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</si>
  <si>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</si>
  <si>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</si>
  <si>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</si>
  <si>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</si>
  <si>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</si>
  <si>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</si>
  <si>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</si>
  <si>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</si>
  <si>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</si>
  <si>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</si>
  <si>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</si>
  <si>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</si>
  <si>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</si>
  <si>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</si>
  <si>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</si>
  <si>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</si>
  <si>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</si>
  <si>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</si>
  <si>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</si>
  <si>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</si>
  <si>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</si>
  <si>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</si>
  <si>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</si>
  <si>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</si>
  <si>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</si>
  <si>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</si>
  <si>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</si>
  <si>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</si>
  <si>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</si>
  <si>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</si>
  <si>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</si>
  <si>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</si>
  <si>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</si>
  <si>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</si>
  <si>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</si>
  <si>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</si>
  <si>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</si>
  <si>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</si>
  <si>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</si>
  <si>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</si>
  <si>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</si>
  <si>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</si>
  <si>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</si>
  <si>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</si>
  <si>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</si>
  <si>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</si>
  <si>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</si>
  <si>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</si>
  <si>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</si>
  <si>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</si>
  <si>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</si>
  <si>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</si>
  <si>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</si>
  <si>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</si>
  <si>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</si>
  <si>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</si>
  <si>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</si>
  <si>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</si>
  <si>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</si>
  <si>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</si>
  <si>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</si>
  <si>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</si>
  <si>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</si>
  <si>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</si>
  <si>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</si>
  <si>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</si>
  <si>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</si>
  <si>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</si>
  <si>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</si>
  <si>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</si>
  <si>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</si>
  <si>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</si>
  <si>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</si>
  <si>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</si>
  <si>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</si>
  <si>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</si>
  <si>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</si>
  <si>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</si>
  <si>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</si>
  <si>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</si>
  <si>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</si>
  <si>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</si>
  <si>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</si>
  <si>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</si>
  <si>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</si>
  <si>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</si>
  <si>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</si>
  <si>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</si>
  <si>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</si>
  <si>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</si>
  <si>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</si>
  <si>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</si>
  <si>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</si>
  <si>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</si>
  <si>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</si>
  <si>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</si>
  <si>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</si>
  <si>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</si>
  <si>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</si>
  <si>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</si>
  <si>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</si>
  <si>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</si>
  <si>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</si>
  <si>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</si>
  <si>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</si>
  <si>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</si>
  <si>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</si>
  <si>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</si>
  <si>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</si>
  <si>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</si>
  <si>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</si>
  <si>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</si>
  <si>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</si>
  <si>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</si>
  <si>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</si>
  <si>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</si>
  <si>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</si>
  <si>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</si>
  <si>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</si>
  <si>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</si>
  <si>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</si>
  <si>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</si>
  <si>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</si>
  <si>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</si>
  <si>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</si>
  <si>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</si>
  <si>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</si>
  <si>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</si>
  <si>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</si>
  <si>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</si>
  <si>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</si>
  <si>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</si>
  <si>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</si>
  <si>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</si>
  <si>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</si>
  <si>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</si>
  <si>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</si>
  <si>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</si>
  <si>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</si>
  <si>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</si>
  <si>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</si>
  <si>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</si>
  <si>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</si>
  <si>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</si>
  <si>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</si>
  <si>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</si>
  <si>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</si>
  <si>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</si>
  <si>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</si>
  <si>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</si>
  <si>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</si>
  <si>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</si>
  <si>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</si>
  <si>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</si>
  <si>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</si>
  <si>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</si>
  <si>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</si>
  <si>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</si>
  <si>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</si>
  <si>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</si>
  <si>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</si>
  <si>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</si>
  <si>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</si>
  <si>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</si>
  <si>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</si>
  <si>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</si>
  <si>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</si>
  <si>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</si>
  <si>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</si>
  <si>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</si>
  <si>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</si>
  <si>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</si>
  <si>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</si>
  <si>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</si>
  <si>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</si>
  <si>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</si>
  <si>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</si>
  <si>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</si>
  <si>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</si>
  <si>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</si>
  <si>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</si>
  <si>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</si>
  <si>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</si>
  <si>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</si>
  <si>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</si>
  <si>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</si>
  <si>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</si>
  <si>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</si>
  <si>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</si>
  <si>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</si>
  <si>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</si>
  <si>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</si>
  <si>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</si>
  <si>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</si>
  <si>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</si>
  <si>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</si>
  <si>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</si>
  <si>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</si>
  <si>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</si>
  <si>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</si>
  <si>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</si>
  <si>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</si>
  <si>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</si>
  <si>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</si>
  <si>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</si>
  <si>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</si>
  <si>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</si>
  <si>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</si>
  <si>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</si>
  <si>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</si>
  <si>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</si>
  <si>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</si>
  <si>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</si>
  <si>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</si>
  <si>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</si>
  <si>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</si>
  <si>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</si>
  <si>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</si>
  <si>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</si>
  <si>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</si>
  <si>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</si>
  <si>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</si>
  <si>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</si>
  <si>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</si>
  <si>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</si>
  <si>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</si>
  <si>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</si>
  <si>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</si>
  <si>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</si>
  <si>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</si>
  <si>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</si>
  <si>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</si>
  <si>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</si>
  <si>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</si>
  <si>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</si>
  <si>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</si>
  <si>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</si>
  <si>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</si>
  <si>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</si>
  <si>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</si>
  <si>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</si>
  <si>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</si>
  <si>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</si>
  <si>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</si>
  <si>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</si>
  <si>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</si>
  <si>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</si>
  <si>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</si>
  <si>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</si>
  <si>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</si>
  <si>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</si>
  <si>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</si>
  <si>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</si>
  <si>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</si>
  <si>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</si>
  <si>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</si>
  <si>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</si>
  <si>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</si>
  <si>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</si>
  <si>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</si>
  <si>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</si>
  <si>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</si>
  <si>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</si>
  <si>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</si>
  <si>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</si>
  <si>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</si>
  <si>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</si>
  <si>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</si>
  <si>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</si>
  <si>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</si>
  <si>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</si>
  <si>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</si>
  <si>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</si>
  <si>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</si>
  <si>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</si>
  <si>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</si>
  <si>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</si>
  <si>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</si>
  <si>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</si>
  <si>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</si>
  <si>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</si>
  <si>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</si>
  <si>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</si>
  <si>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</si>
  <si>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</si>
  <si>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</si>
  <si>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</si>
  <si>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</si>
  <si>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</si>
  <si>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</si>
  <si>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</si>
  <si>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</si>
  <si>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</si>
  <si>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</si>
  <si>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</si>
  <si>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</si>
  <si>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</si>
  <si>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</si>
  <si>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</si>
  <si>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</si>
  <si>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</si>
  <si>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</si>
  <si>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</si>
  <si>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</si>
  <si>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</si>
  <si>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</si>
  <si>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</si>
  <si>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</si>
  <si>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</si>
  <si>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</si>
  <si>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</si>
  <si>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</si>
  <si>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</si>
  <si>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</si>
  <si>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</si>
  <si>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</si>
  <si>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</si>
  <si>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</si>
  <si>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</si>
  <si>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</si>
  <si>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</si>
  <si>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</si>
  <si>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</si>
  <si>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</si>
  <si>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</si>
  <si>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</si>
  <si>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</si>
  <si>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</si>
  <si>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</si>
  <si>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</si>
  <si>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</si>
  <si>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</si>
  <si>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</si>
  <si>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</si>
  <si>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</si>
  <si>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</si>
  <si>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</si>
  <si>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</si>
  <si>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</si>
  <si>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</si>
  <si>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</si>
  <si>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</si>
  <si>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</si>
  <si>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</si>
  <si>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</si>
  <si>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</si>
  <si>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</si>
  <si>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</si>
  <si>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</si>
  <si>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</si>
  <si>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</si>
  <si>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</si>
  <si>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</si>
  <si>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</si>
  <si>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</si>
  <si>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</si>
  <si>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</si>
  <si>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</si>
  <si>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</si>
  <si>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</si>
  <si>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</si>
  <si>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</si>
  <si>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</si>
  <si>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</si>
  <si>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</si>
  <si>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</si>
  <si>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</si>
  <si>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</si>
  <si>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</si>
  <si>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</si>
  <si>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</si>
  <si>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</si>
  <si>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</si>
  <si>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</si>
  <si>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</si>
  <si>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</si>
  <si>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</si>
  <si>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</si>
  <si>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</si>
  <si>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</si>
  <si>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</si>
  <si>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</si>
  <si>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</si>
  <si>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</si>
  <si>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</si>
  <si>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</si>
  <si>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</si>
  <si>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</si>
  <si>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</si>
  <si>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</si>
  <si>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</si>
  <si>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</si>
  <si>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</si>
  <si>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</si>
  <si>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</si>
  <si>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</si>
  <si>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</si>
  <si>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</si>
  <si>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</si>
  <si>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</si>
  <si>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</si>
  <si>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</si>
  <si>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</si>
  <si>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</si>
  <si>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</si>
  <si>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</si>
  <si>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</si>
  <si>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</si>
  <si>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</si>
  <si>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</si>
  <si>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</si>
  <si>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</si>
  <si>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</si>
  <si>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</si>
  <si>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</si>
  <si>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</si>
  <si>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</si>
  <si>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</si>
  <si>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</si>
  <si>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</si>
  <si>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</si>
  <si>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</si>
  <si>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</si>
  <si>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</si>
  <si>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</si>
  <si>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</si>
  <si>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</si>
  <si>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</si>
  <si>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</si>
  <si>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</si>
  <si>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</si>
  <si>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</si>
  <si>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</si>
  <si>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</si>
  <si>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</si>
  <si>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</si>
  <si>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</si>
  <si>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</si>
  <si>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</si>
  <si>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</si>
  <si>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</si>
  <si>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</si>
  <si>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</si>
  <si>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</si>
  <si>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</si>
  <si>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</si>
  <si>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</si>
  <si>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</si>
  <si>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</si>
  <si>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</si>
  <si>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</si>
  <si>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</si>
  <si>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</si>
  <si>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</si>
  <si>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</si>
  <si>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</si>
  <si>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</si>
  <si>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</si>
  <si>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</si>
  <si>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</si>
  <si>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</si>
  <si>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</si>
  <si>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</si>
  <si>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</si>
  <si>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</si>
  <si>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</si>
  <si>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</si>
  <si>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</si>
  <si>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</si>
  <si>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</si>
  <si>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</si>
  <si>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</si>
  <si>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</si>
  <si>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</si>
  <si>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</si>
  <si>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</si>
  <si>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</si>
  <si>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</si>
  <si>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</si>
  <si>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</si>
  <si>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</si>
  <si>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</si>
  <si>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</si>
  <si>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</si>
  <si>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</si>
  <si>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</si>
  <si>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</si>
  <si>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</si>
  <si>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</si>
  <si>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</si>
  <si>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</si>
  <si>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</si>
  <si>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</si>
  <si>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</si>
  <si>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</si>
  <si>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</si>
  <si>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</si>
  <si>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</si>
  <si>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</si>
  <si>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</si>
  <si>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</si>
  <si>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</si>
  <si>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</si>
  <si>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</si>
  <si>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</si>
  <si>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</si>
  <si>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</si>
  <si>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</si>
  <si>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</si>
  <si>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</si>
  <si>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</si>
  <si>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</si>
  <si>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</si>
  <si>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</si>
  <si>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</si>
  <si>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</si>
  <si>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</si>
  <si>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</si>
  <si>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</si>
  <si>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</si>
  <si>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</si>
  <si>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</si>
  <si>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</si>
  <si>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</si>
  <si>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</si>
  <si>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</si>
  <si>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</si>
  <si>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</si>
  <si>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</si>
  <si>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</si>
  <si>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</si>
  <si>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</si>
  <si>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</si>
  <si>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</si>
  <si>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</si>
  <si>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</si>
  <si>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</si>
  <si>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</si>
  <si>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</si>
  <si>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</si>
  <si>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</si>
  <si>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</si>
  <si>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</si>
  <si>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</si>
  <si>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</si>
  <si>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</si>
  <si>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</si>
  <si>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</si>
  <si>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</si>
  <si>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</si>
  <si>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</si>
  <si>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</si>
  <si>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</si>
  <si>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</si>
  <si>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</si>
  <si>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</si>
  <si>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</si>
  <si>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</si>
  <si>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</si>
  <si>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</si>
  <si>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</si>
  <si>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</si>
  <si>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</si>
  <si>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</si>
  <si>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</si>
  <si>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</si>
  <si>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</si>
  <si>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</si>
  <si>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</si>
  <si>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</si>
  <si>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</si>
  <si>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</si>
  <si>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</si>
  <si>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</si>
  <si>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</si>
  <si>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</si>
  <si>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</si>
  <si>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</si>
  <si>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</si>
  <si>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</si>
  <si>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</si>
  <si>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</si>
  <si>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</si>
  <si>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</si>
  <si>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</si>
  <si>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</si>
  <si>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</si>
  <si>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</si>
  <si>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</si>
  <si>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</si>
  <si>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</si>
  <si>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</si>
  <si>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</si>
  <si>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</si>
  <si>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</si>
  <si>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</si>
  <si>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</si>
  <si>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</si>
  <si>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</si>
  <si>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</si>
  <si>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</si>
  <si>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</si>
  <si>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</si>
  <si>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</si>
  <si>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</si>
  <si>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</si>
  <si>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</si>
  <si>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</si>
  <si>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</si>
  <si>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</si>
  <si>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</si>
  <si>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</si>
  <si>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</si>
  <si>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</si>
  <si>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</si>
  <si>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</si>
  <si>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</si>
  <si>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</si>
  <si>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</si>
  <si>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</si>
  <si>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</si>
  <si>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</si>
  <si>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</si>
  <si>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</si>
  <si>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</si>
  <si>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</si>
  <si>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</si>
  <si>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</si>
  <si>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</si>
  <si>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</si>
  <si>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</si>
  <si>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</si>
  <si>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</si>
  <si>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</si>
  <si>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</si>
  <si>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</si>
  <si>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</si>
  <si>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</si>
  <si>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</si>
  <si>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</si>
  <si>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</si>
  <si>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</si>
  <si>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</si>
  <si>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</si>
  <si>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</si>
  <si>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</si>
  <si>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</si>
  <si>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</si>
  <si>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</si>
  <si>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</si>
  <si>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</si>
  <si>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</si>
  <si>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</si>
  <si>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</si>
  <si>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</si>
  <si>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</si>
  <si>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</si>
  <si>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</si>
  <si>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</si>
  <si>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</si>
  <si>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</si>
  <si>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</si>
  <si>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</si>
  <si>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</si>
  <si>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</si>
  <si>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</si>
  <si>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</si>
  <si>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</si>
  <si>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</si>
  <si>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</si>
  <si>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</si>
  <si>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</si>
  <si>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</si>
  <si>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</si>
  <si>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</si>
  <si>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</si>
  <si>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</si>
  <si>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</si>
  <si>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</si>
  <si>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</si>
  <si>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</si>
  <si>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</si>
  <si>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</si>
  <si>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</si>
  <si>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</si>
  <si>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</si>
  <si>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</si>
  <si>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</si>
  <si>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</si>
  <si>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</si>
  <si>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</si>
  <si>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</si>
  <si>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</si>
  <si>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</si>
  <si>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</si>
  <si>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</si>
  <si>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</si>
  <si>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</si>
  <si>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</si>
  <si>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</si>
  <si>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</si>
  <si>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</si>
  <si>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</si>
  <si>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</si>
  <si>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</si>
  <si>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</si>
  <si>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</si>
  <si>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</si>
  <si>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</si>
  <si>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</si>
  <si>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</si>
  <si>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</si>
  <si>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</si>
  <si>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</si>
  <si>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</si>
  <si>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</si>
  <si>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</si>
  <si>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</si>
  <si>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</si>
  <si>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</si>
  <si>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</si>
  <si>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</si>
  <si>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</si>
  <si>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</si>
  <si>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</si>
  <si>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</si>
  <si>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</si>
  <si>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</si>
  <si>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</si>
  <si>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</si>
  <si>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</si>
  <si>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</si>
  <si>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</si>
  <si>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</si>
  <si>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</si>
  <si>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</si>
  <si>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</si>
  <si>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</si>
  <si>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</si>
  <si>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</si>
  <si>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</si>
  <si>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</si>
  <si>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</si>
  <si>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</si>
  <si>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</si>
  <si>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</si>
  <si>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</si>
  <si>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</si>
  <si>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</si>
  <si>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</si>
  <si>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</si>
  <si>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</si>
  <si>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</si>
  <si>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</si>
  <si>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</si>
  <si>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</si>
  <si>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</si>
  <si>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</si>
  <si>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</si>
  <si>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</si>
  <si>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</si>
  <si>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</si>
  <si>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</si>
  <si>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</si>
  <si>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</si>
  <si>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</si>
  <si>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</si>
  <si>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</si>
  <si>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</si>
  <si>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</si>
  <si>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</si>
  <si>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</si>
  <si>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</si>
  <si>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</si>
  <si>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</si>
  <si>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</si>
  <si>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</si>
  <si>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</si>
  <si>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</si>
  <si>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</si>
  <si>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</si>
  <si>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</si>
  <si>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</si>
  <si>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</si>
  <si>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</si>
  <si>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</si>
  <si>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</si>
  <si>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</si>
  <si>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</si>
  <si>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</si>
  <si>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</si>
  <si>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</si>
  <si>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</si>
  <si>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</si>
  <si>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</si>
  <si>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</si>
  <si>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</si>
  <si>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</si>
  <si>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</si>
  <si>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</si>
  <si>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</si>
  <si>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</si>
  <si>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</si>
  <si>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</si>
  <si>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</si>
  <si>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</si>
  <si>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</si>
  <si>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</si>
  <si>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</si>
  <si>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</si>
  <si>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</si>
  <si>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</si>
  <si>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</si>
  <si>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</si>
  <si>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</si>
  <si>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</si>
  <si>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</si>
  <si>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</si>
  <si>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</si>
  <si>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</si>
  <si>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</si>
  <si>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</si>
  <si>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</si>
  <si>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</si>
  <si>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</si>
  <si>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</si>
  <si>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</si>
  <si>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</si>
  <si>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</si>
  <si>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</si>
  <si>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</si>
  <si>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</si>
  <si>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</si>
  <si>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</si>
  <si>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</si>
  <si>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</si>
  <si>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</si>
  <si>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</si>
  <si>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</si>
  <si>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</si>
  <si>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</si>
  <si>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</si>
  <si>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</si>
  <si>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</si>
  <si>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</si>
  <si>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</si>
  <si>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</si>
  <si>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</si>
  <si>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</si>
  <si>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</si>
  <si>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</si>
  <si>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</si>
  <si>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</si>
  <si>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</si>
  <si>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</si>
  <si>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</si>
  <si>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</si>
  <si>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</si>
  <si>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</si>
  <si>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</si>
  <si>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</si>
  <si>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</si>
  <si>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</si>
  <si>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</si>
  <si>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</si>
  <si>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</si>
  <si>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</si>
  <si>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</si>
  <si>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</si>
  <si>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</si>
  <si>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</si>
  <si>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</si>
  <si>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</si>
  <si>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</si>
  <si>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</si>
  <si>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</si>
  <si>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</si>
  <si>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</si>
  <si>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</si>
  <si>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</si>
  <si>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</si>
  <si>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</si>
  <si>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</si>
  <si>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</si>
  <si>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</si>
  <si>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</si>
  <si>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</si>
  <si>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</si>
  <si>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</si>
  <si>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</si>
  <si>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</si>
  <si>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</si>
  <si>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</si>
  <si>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</si>
  <si>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</si>
  <si>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</si>
  <si>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</si>
  <si>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</si>
  <si>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</si>
  <si>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</si>
  <si>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</si>
  <si>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</si>
  <si>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</si>
  <si>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</si>
  <si>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</si>
  <si>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</si>
  <si>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</si>
  <si>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</si>
  <si>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</si>
  <si>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</si>
  <si>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</si>
  <si>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</si>
  <si>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</si>
  <si>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</si>
  <si>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</si>
  <si>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</si>
  <si>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</si>
  <si>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</si>
  <si>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</si>
  <si>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</si>
  <si>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</si>
  <si>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</si>
  <si>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</si>
  <si>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</si>
  <si>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</si>
  <si>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</si>
  <si>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</si>
  <si>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</si>
  <si>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</si>
  <si>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</si>
  <si>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</si>
  <si>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</si>
  <si>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</si>
  <si>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</si>
  <si>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</si>
  <si>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</si>
  <si>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</si>
  <si>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</si>
  <si>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</si>
  <si>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</si>
  <si>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</si>
  <si>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</si>
  <si>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</si>
  <si>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</si>
  <si>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</si>
  <si>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</si>
  <si>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</si>
  <si>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</si>
  <si>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</si>
  <si>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</si>
  <si>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</si>
  <si>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</si>
  <si>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</si>
  <si>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</si>
  <si>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</si>
  <si>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</si>
  <si>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</si>
  <si>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</si>
  <si>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</si>
  <si>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</si>
  <si>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</si>
  <si>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</si>
  <si>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</si>
  <si>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</si>
  <si>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</si>
  <si>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</si>
  <si>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</si>
  <si>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</si>
  <si>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</si>
  <si>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</si>
  <si>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</si>
  <si>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</si>
  <si>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</si>
  <si>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</si>
  <si>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</si>
  <si>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</si>
  <si>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</si>
  <si>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</si>
  <si>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</si>
  <si>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</si>
  <si>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</si>
  <si>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</si>
  <si>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</si>
  <si>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</si>
  <si>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</si>
  <si>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</si>
  <si>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</si>
  <si>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</si>
  <si>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</si>
  <si>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</si>
  <si>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</si>
  <si>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</si>
  <si>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</si>
  <si>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</si>
  <si>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</si>
  <si>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</si>
  <si>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</si>
  <si>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</si>
  <si>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</si>
  <si>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</si>
  <si>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</si>
  <si>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</si>
  <si>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</si>
  <si>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</si>
  <si>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</si>
  <si>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</si>
  <si>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</si>
  <si>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</si>
  <si>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</si>
  <si>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</si>
  <si>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</si>
  <si>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</si>
  <si>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</si>
  <si>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</si>
  <si>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</si>
  <si>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</si>
  <si>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</si>
  <si>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</si>
  <si>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</si>
  <si>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</si>
  <si>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</si>
  <si>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</si>
  <si>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</si>
  <si>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</si>
  <si>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</si>
  <si>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</si>
  <si>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</si>
  <si>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</si>
  <si>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</si>
  <si>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</si>
  <si>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</si>
  <si>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</si>
  <si>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</si>
  <si>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</si>
  <si>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</si>
  <si>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</si>
  <si>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</si>
  <si>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</si>
  <si>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</si>
  <si>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</si>
  <si>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</si>
  <si>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</si>
  <si>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</si>
  <si>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</si>
  <si>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</si>
  <si>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</si>
  <si>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</si>
  <si>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</si>
  <si>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</si>
  <si>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</si>
  <si>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</si>
  <si>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</si>
  <si>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</si>
  <si>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</si>
  <si>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</si>
  <si>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</si>
  <si>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</si>
  <si>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</si>
  <si>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</si>
  <si>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</si>
  <si>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</si>
  <si>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</si>
  <si>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</si>
  <si>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</si>
  <si>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</si>
  <si>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</si>
  <si>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</si>
  <si>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</si>
  <si>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</si>
  <si>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</si>
  <si>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</si>
  <si>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</si>
  <si>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</si>
  <si>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</si>
  <si>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</si>
  <si>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</si>
  <si>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</si>
  <si>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</si>
  <si>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</si>
  <si>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</si>
  <si>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</si>
  <si>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</si>
  <si>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</si>
  <si>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</si>
  <si>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</si>
  <si>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</si>
  <si>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</si>
  <si>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</si>
  <si>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</si>
  <si>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</si>
  <si>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</si>
  <si>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</si>
  <si>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</si>
  <si>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</si>
  <si>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</si>
  <si>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</si>
  <si>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</si>
  <si>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</si>
  <si>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</si>
  <si>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</si>
  <si>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</si>
  <si>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</si>
  <si>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</si>
  <si>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</si>
  <si>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</si>
  <si>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</si>
  <si>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</si>
  <si>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</si>
  <si>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</si>
  <si>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</si>
  <si>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</si>
  <si>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</si>
  <si>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</si>
  <si>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</si>
  <si>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</si>
  <si>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</si>
  <si>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</si>
  <si>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</si>
  <si>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</si>
  <si>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</si>
  <si>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</si>
  <si>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</si>
  <si>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</si>
  <si>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</si>
  <si>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</si>
  <si>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</si>
  <si>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</si>
  <si>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</si>
  <si>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</si>
  <si>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</si>
  <si>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</si>
  <si>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</si>
  <si>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</si>
  <si>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</si>
  <si>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</si>
  <si>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</si>
  <si>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</si>
  <si>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</si>
  <si>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</si>
  <si>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</si>
  <si>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</si>
  <si>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</si>
  <si>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</si>
  <si>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</si>
  <si>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</si>
  <si>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</si>
  <si>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</si>
  <si>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</si>
  <si>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</si>
  <si>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</si>
  <si>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</si>
  <si>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</si>
  <si>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</si>
  <si>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</si>
  <si>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</si>
  <si>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</si>
  <si>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</si>
  <si>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</si>
  <si>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</si>
  <si>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</si>
  <si>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</si>
  <si>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</si>
  <si>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</si>
  <si>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</si>
  <si>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</si>
  <si>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</si>
  <si>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</si>
  <si>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</si>
  <si>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</si>
  <si>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</si>
  <si>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</si>
  <si>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</si>
  <si>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</si>
  <si>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</si>
  <si>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</si>
  <si>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</si>
  <si>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</si>
  <si>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</si>
  <si>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</si>
  <si>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</si>
  <si>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</si>
  <si>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</si>
  <si>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</si>
  <si>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</si>
  <si>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</si>
  <si>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</si>
  <si>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</si>
  <si>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</si>
  <si>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</si>
  <si>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</si>
  <si>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</si>
  <si>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</si>
  <si>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</si>
  <si>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</si>
  <si>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</si>
  <si>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</si>
  <si>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</si>
  <si>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</si>
  <si>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</si>
  <si>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</si>
  <si>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</si>
  <si>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</si>
  <si>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</si>
  <si>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</si>
  <si>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</si>
  <si>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</si>
  <si>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</si>
  <si>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</si>
  <si>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</si>
  <si>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</si>
  <si>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</si>
  <si>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</si>
  <si>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</si>
  <si>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</si>
  <si>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</si>
  <si>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</si>
  <si>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</si>
  <si>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</si>
  <si>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</si>
  <si>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</si>
  <si>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</si>
  <si>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</si>
  <si>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</si>
  <si>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</si>
  <si>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</si>
  <si>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</si>
  <si>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</si>
  <si>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</si>
  <si>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</si>
  <si>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</si>
  <si>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</si>
  <si>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</si>
  <si>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</si>
  <si>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</si>
  <si>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</si>
  <si>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</si>
  <si>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</si>
  <si>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</si>
  <si>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</si>
  <si>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</si>
  <si>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</si>
  <si>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</si>
  <si>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</si>
  <si>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</si>
  <si>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</si>
  <si>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</si>
  <si>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</si>
  <si>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</si>
  <si>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</si>
  <si>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</si>
  <si>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</si>
  <si>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</si>
  <si>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</si>
  <si>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</si>
  <si>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</si>
  <si>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</si>
  <si>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</si>
  <si>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</si>
  <si>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</si>
  <si>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</si>
  <si>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</si>
  <si>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</si>
  <si>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</si>
  <si>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</si>
  <si>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</si>
  <si>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</si>
  <si>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</si>
  <si>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</si>
  <si>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</si>
  <si>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</si>
  <si>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</si>
  <si>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</si>
  <si>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</si>
  <si>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</si>
  <si>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</si>
  <si>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</si>
  <si>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</si>
  <si>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</si>
  <si>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</si>
  <si>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</si>
  <si>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</si>
  <si>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</si>
  <si>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</si>
  <si>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</si>
  <si>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</si>
  <si>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</si>
  <si>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</si>
  <si>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</si>
  <si>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</si>
  <si>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</si>
  <si>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</si>
  <si>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</si>
  <si>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</si>
  <si>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</si>
  <si>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</si>
  <si>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</si>
  <si>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</si>
  <si>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</si>
  <si>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</si>
  <si>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</si>
  <si>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</si>
  <si>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</si>
  <si>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</si>
  <si>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</si>
  <si>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</si>
  <si>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</si>
  <si>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</si>
  <si>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</si>
  <si>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</si>
  <si>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</si>
  <si>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</si>
  <si>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</si>
  <si>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</si>
  <si>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</si>
  <si>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</si>
  <si>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</si>
  <si>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</si>
  <si>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</si>
  <si>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</si>
  <si>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</si>
  <si>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</si>
  <si>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</si>
  <si>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</si>
  <si>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</si>
  <si>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</si>
  <si>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</si>
  <si>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</si>
  <si>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</si>
  <si>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</si>
  <si>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</si>
  <si>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</si>
  <si>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</si>
  <si>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</si>
  <si>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</si>
  <si>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</si>
  <si>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</si>
  <si>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</si>
  <si>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</si>
  <si>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</si>
  <si>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</si>
  <si>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</si>
  <si>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</si>
  <si>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</si>
  <si>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</si>
  <si>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</si>
  <si>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</si>
  <si>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</si>
  <si>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</si>
  <si>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</si>
  <si>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</si>
  <si>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</si>
  <si>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</si>
  <si>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</si>
  <si>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</si>
  <si>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</si>
  <si>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</si>
  <si>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</si>
  <si>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</si>
  <si>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</si>
  <si>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</si>
  <si>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</si>
  <si>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</si>
  <si>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</si>
  <si>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</si>
  <si>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</si>
  <si>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</si>
  <si>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</si>
  <si>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</si>
  <si>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</si>
  <si>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</si>
  <si>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</si>
  <si>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</si>
  <si>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</si>
  <si>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</si>
  <si>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</si>
  <si>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</si>
  <si>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</si>
  <si>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</si>
  <si>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</si>
  <si>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</si>
  <si>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</si>
  <si>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</si>
  <si>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</si>
  <si>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</si>
  <si>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</si>
  <si>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</si>
  <si>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</si>
  <si>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</si>
  <si>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</si>
  <si>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</si>
  <si>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</si>
  <si>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</si>
  <si>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</si>
  <si>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</si>
  <si>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</si>
  <si>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</si>
  <si>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</si>
  <si>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</si>
  <si>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</si>
  <si>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</si>
  <si>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</si>
  <si>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</si>
  <si>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</si>
  <si>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</si>
  <si>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</si>
  <si>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</si>
  <si>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</si>
  <si>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</si>
  <si>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</si>
  <si>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</si>
  <si>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</si>
  <si>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</si>
  <si>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</si>
  <si>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</si>
  <si>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</si>
  <si>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</si>
  <si>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</si>
  <si>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</si>
  <si>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</si>
  <si>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</si>
  <si>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</si>
  <si>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</si>
  <si>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</si>
  <si>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</si>
  <si>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</si>
  <si>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</si>
  <si>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</si>
  <si>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</si>
  <si>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</si>
  <si>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</si>
  <si>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</si>
  <si>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</si>
  <si>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</si>
  <si>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</si>
  <si>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</si>
  <si>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</si>
  <si>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</si>
  <si>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</si>
  <si>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</si>
  <si>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</si>
  <si>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</si>
  <si>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</si>
  <si>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</si>
  <si>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</si>
  <si>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</si>
  <si>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</si>
  <si>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</si>
  <si>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</si>
  <si>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</si>
  <si>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</si>
  <si>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</si>
  <si>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</si>
  <si>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</si>
  <si>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</si>
  <si>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</si>
  <si>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</si>
  <si>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</si>
  <si>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</si>
  <si>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</si>
  <si>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</si>
  <si>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</si>
  <si>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</si>
  <si>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</si>
  <si>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</si>
  <si>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</si>
  <si>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</si>
  <si>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</si>
  <si>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</si>
  <si>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</si>
  <si>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</si>
  <si>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</si>
  <si>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</si>
  <si>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</si>
  <si>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</si>
  <si>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</si>
  <si>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</si>
  <si>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</si>
  <si>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</si>
  <si>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</si>
  <si>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</si>
  <si>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</si>
  <si>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</si>
  <si>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</si>
  <si>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</si>
  <si>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</si>
  <si>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</si>
  <si>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</si>
  <si>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</si>
  <si>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</si>
  <si>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</si>
  <si>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</si>
  <si>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</si>
  <si>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</si>
  <si>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</si>
  <si>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</si>
  <si>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</si>
  <si>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</si>
  <si>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</si>
  <si>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</si>
  <si>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</si>
  <si>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</si>
  <si>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</si>
  <si>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</si>
  <si>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</si>
  <si>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</si>
  <si>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</si>
  <si>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</si>
  <si>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</si>
  <si>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</si>
  <si>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</si>
  <si>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</si>
  <si>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</si>
  <si>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</si>
  <si>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</si>
  <si>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</si>
  <si>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</si>
  <si>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</si>
  <si>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</si>
  <si>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</si>
  <si>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</si>
  <si>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</si>
  <si>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</si>
  <si>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</si>
  <si>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</si>
  <si>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</si>
  <si>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</si>
  <si>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</si>
  <si>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</si>
  <si>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</si>
  <si>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</si>
  <si>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</si>
  <si>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</si>
  <si>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</si>
  <si>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</si>
  <si>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</si>
  <si>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</si>
  <si>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</si>
  <si>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</si>
  <si>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</si>
  <si>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</si>
  <si>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</si>
  <si>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</si>
  <si>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</si>
  <si>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</si>
  <si>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</si>
  <si>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</si>
  <si>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</si>
  <si>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</si>
  <si>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</si>
  <si>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</si>
  <si>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</si>
  <si>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</si>
  <si>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</si>
  <si>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</si>
  <si>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</si>
  <si>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</si>
  <si>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</si>
  <si>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</si>
  <si>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</si>
  <si>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</si>
  <si>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</si>
  <si>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</si>
  <si>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</si>
  <si>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</si>
  <si>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</si>
  <si>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</si>
  <si>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</si>
  <si>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</si>
  <si>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</si>
  <si>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</si>
  <si>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</si>
  <si>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</si>
  <si>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</si>
  <si>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</si>
  <si>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</si>
  <si>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</si>
  <si>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</si>
  <si>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</si>
  <si>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</si>
  <si>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</si>
  <si>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</si>
  <si>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</si>
  <si>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</si>
  <si>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</si>
  <si>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</si>
  <si>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</si>
  <si>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</si>
  <si>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</si>
  <si>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</si>
  <si>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</si>
  <si>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</si>
  <si>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</si>
  <si>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</si>
  <si>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</si>
  <si>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</si>
  <si>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</si>
  <si>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</si>
  <si>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</si>
  <si>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</si>
  <si>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</si>
  <si>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</si>
  <si>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</si>
  <si>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</si>
  <si>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</si>
  <si>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</si>
  <si>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</si>
  <si>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</si>
  <si>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</si>
  <si>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</si>
  <si>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</si>
  <si>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</si>
  <si>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</si>
  <si>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</si>
  <si>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</si>
  <si>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</si>
  <si>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</si>
  <si>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</si>
  <si>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</si>
  <si>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</si>
  <si>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</si>
  <si>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</si>
  <si>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</si>
  <si>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</si>
  <si>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</si>
  <si>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</si>
  <si>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</si>
  <si>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</si>
  <si>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</si>
  <si>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</si>
  <si>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</si>
  <si>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</si>
  <si>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</si>
  <si>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</si>
  <si>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</si>
  <si>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</si>
  <si>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</si>
  <si>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</si>
  <si>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</si>
  <si>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</si>
  <si>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</si>
  <si>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</si>
  <si>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</si>
  <si>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</si>
  <si>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</si>
  <si>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</si>
  <si>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</si>
  <si>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</si>
  <si>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</si>
  <si>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</si>
  <si>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</si>
  <si>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</si>
  <si>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</si>
  <si>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</si>
  <si>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</si>
  <si>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</si>
  <si>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</si>
  <si>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</si>
  <si>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</si>
  <si>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</si>
  <si>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</si>
  <si>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</si>
  <si>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</si>
  <si>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</si>
  <si>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</si>
  <si>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</si>
  <si>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</si>
  <si>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</si>
  <si>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</si>
  <si>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</si>
  <si>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</si>
  <si>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</si>
  <si>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</si>
  <si>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</si>
  <si>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</si>
  <si>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</si>
  <si>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</si>
  <si>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</si>
  <si>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</si>
  <si>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</si>
  <si>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</si>
  <si>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</si>
  <si>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</si>
  <si>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</si>
  <si>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</si>
  <si>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</si>
  <si>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</si>
  <si>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</si>
  <si>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</si>
  <si>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</si>
  <si>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</si>
  <si>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</si>
  <si>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</si>
  <si>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</si>
  <si>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</si>
  <si>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</si>
  <si>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</si>
  <si>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</si>
  <si>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</si>
  <si>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</si>
  <si>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</si>
  <si>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</si>
  <si>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</si>
  <si>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</si>
  <si>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</si>
  <si>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</si>
  <si>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</si>
  <si>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</si>
  <si>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</si>
  <si>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</si>
  <si>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</si>
  <si>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</si>
  <si>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</si>
  <si>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</si>
  <si>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</si>
  <si>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</si>
  <si>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</si>
  <si>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</si>
  <si>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</si>
  <si>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</si>
  <si>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</si>
  <si>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</si>
  <si>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</si>
  <si>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</si>
  <si>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</si>
  <si>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</si>
  <si>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</si>
  <si>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</si>
  <si>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</si>
  <si>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</si>
  <si>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</si>
  <si>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</si>
  <si>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</si>
  <si>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</si>
  <si>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</si>
  <si>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</si>
  <si>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</si>
  <si>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</si>
  <si>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</si>
  <si>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</si>
  <si>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</si>
  <si>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</si>
  <si>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</si>
  <si>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</si>
  <si>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</si>
  <si>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</si>
  <si>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</si>
  <si>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</si>
  <si>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</si>
  <si>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</si>
  <si>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</si>
  <si>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</si>
  <si>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</si>
  <si>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</si>
  <si>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</si>
  <si>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</si>
  <si>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</si>
  <si>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</si>
  <si>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</si>
  <si>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</si>
  <si>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</si>
  <si>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</si>
  <si>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</si>
  <si>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</si>
  <si>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</si>
  <si>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</si>
  <si>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</si>
  <si>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</si>
  <si>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</si>
  <si>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</si>
  <si>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</si>
  <si>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</si>
  <si>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</si>
  <si>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</si>
  <si>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</si>
  <si>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</si>
  <si>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</si>
  <si>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</si>
  <si>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</si>
  <si>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</si>
  <si>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</si>
  <si>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</si>
  <si>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</si>
  <si>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</si>
  <si>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</si>
  <si>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</si>
  <si>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</si>
  <si>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</si>
  <si>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</si>
  <si>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</si>
  <si>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</si>
  <si>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</si>
  <si>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</si>
  <si>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</si>
  <si>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</si>
  <si>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</si>
  <si>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</si>
  <si>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</si>
  <si>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</si>
  <si>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</si>
  <si>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</si>
  <si>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</si>
  <si>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</si>
  <si>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</si>
  <si>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</si>
  <si>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</si>
  <si>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</si>
  <si>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</si>
  <si>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</si>
  <si>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</si>
  <si>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</si>
  <si>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</si>
  <si>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</si>
  <si>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</si>
  <si>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</si>
  <si>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</si>
  <si>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</si>
  <si>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</si>
  <si>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</si>
  <si>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</si>
  <si>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</si>
  <si>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</si>
  <si>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</si>
  <si>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</si>
  <si>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</si>
  <si>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</si>
  <si>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</si>
  <si>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</si>
  <si>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</si>
  <si>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</si>
  <si>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</si>
  <si>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</si>
  <si>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</si>
  <si>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</si>
  <si>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</si>
  <si>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</si>
  <si>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</si>
  <si>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</si>
  <si>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</si>
  <si>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</si>
  <si>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</si>
  <si>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</si>
  <si>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</si>
  <si>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</si>
  <si>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</si>
  <si>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</si>
  <si>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</si>
  <si>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</si>
  <si>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</si>
  <si>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</si>
  <si>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</si>
  <si>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</si>
  <si>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</si>
  <si>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</si>
  <si>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</si>
  <si>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</si>
  <si>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</si>
  <si>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</si>
  <si>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</si>
  <si>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</si>
  <si>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</si>
  <si>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</si>
  <si>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</si>
  <si>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</si>
  <si>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</si>
  <si>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</si>
  <si>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</si>
  <si>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</si>
  <si>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</si>
  <si>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</si>
  <si>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</si>
  <si>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</si>
  <si>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</si>
  <si>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</si>
  <si>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</si>
  <si>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</si>
  <si>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</si>
  <si>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</si>
  <si>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</si>
  <si>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</si>
  <si>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</si>
  <si>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</si>
  <si>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</si>
  <si>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</si>
  <si>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</si>
  <si>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</si>
  <si>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</si>
  <si>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</si>
  <si>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</si>
  <si>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</si>
  <si>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</si>
  <si>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</si>
  <si>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</si>
  <si>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</si>
  <si>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</si>
  <si>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</si>
  <si>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</si>
  <si>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</si>
  <si>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</si>
  <si>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</si>
  <si>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</si>
  <si>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</si>
  <si>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</si>
  <si>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</si>
  <si>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</si>
  <si>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</si>
  <si>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</si>
  <si>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</si>
  <si>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</si>
  <si>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</si>
  <si>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</si>
  <si>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</si>
  <si>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</si>
  <si>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</si>
  <si>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</si>
  <si>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</si>
  <si>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</si>
  <si>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</si>
  <si>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</si>
  <si>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</si>
  <si>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</si>
  <si>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</si>
  <si>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</si>
  <si>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</si>
  <si>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</si>
  <si>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</si>
  <si>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</si>
  <si>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</si>
  <si>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</si>
  <si>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</si>
  <si>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</si>
  <si>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</si>
  <si>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</si>
  <si>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</si>
  <si>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</si>
  <si>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</si>
  <si>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</si>
  <si>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</si>
  <si>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</si>
  <si>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</si>
  <si>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</si>
  <si>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</si>
  <si>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</si>
  <si>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</si>
  <si>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</si>
  <si>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</si>
  <si>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</si>
  <si>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</si>
  <si>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</si>
  <si>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</si>
  <si>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</si>
  <si>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</si>
  <si>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</si>
  <si>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</si>
  <si>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</si>
  <si>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</si>
  <si>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</si>
  <si>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</si>
  <si>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</si>
  <si>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</si>
  <si>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</si>
  <si>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</si>
  <si>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</si>
  <si>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</si>
  <si>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</si>
  <si>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</si>
  <si>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</si>
  <si>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</si>
  <si>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</si>
  <si>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</si>
  <si>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</si>
  <si>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</si>
  <si>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</si>
  <si>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</si>
  <si>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</si>
  <si>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</si>
  <si>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</si>
  <si>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</si>
  <si>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</si>
  <si>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</si>
  <si>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</si>
  <si>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</si>
  <si>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</si>
  <si>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</si>
  <si>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</si>
  <si>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</si>
  <si>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</si>
  <si>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</si>
  <si>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</si>
  <si>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</si>
  <si>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</si>
  <si>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</si>
  <si>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</si>
  <si>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</si>
  <si>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</si>
  <si>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</si>
  <si>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</si>
  <si>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</si>
  <si>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</si>
  <si>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</si>
  <si>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</si>
  <si>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</si>
  <si>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</si>
  <si>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</si>
  <si>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</si>
  <si>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</si>
  <si>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</si>
  <si>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</si>
  <si>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</si>
  <si>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</si>
  <si>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</si>
  <si>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</si>
  <si>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</si>
  <si>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</si>
  <si>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</si>
  <si>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</si>
  <si>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</si>
  <si>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</si>
  <si>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</si>
  <si>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</si>
  <si>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</si>
  <si>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</si>
  <si>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</si>
  <si>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</si>
  <si>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</si>
  <si>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</si>
  <si>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</si>
  <si>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</si>
  <si>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</si>
  <si>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</si>
  <si>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</si>
  <si>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</si>
  <si>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</si>
  <si>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</si>
  <si>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</si>
  <si>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</si>
  <si>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</si>
  <si>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</si>
  <si>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</si>
  <si>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</si>
  <si>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</si>
  <si>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</si>
  <si>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</si>
  <si>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</si>
  <si>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</si>
  <si>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</si>
  <si>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</si>
  <si>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</si>
  <si>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</si>
  <si>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</si>
  <si>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</si>
  <si>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</si>
  <si>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</si>
  <si>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</si>
  <si>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</si>
  <si>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</si>
  <si>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</si>
  <si>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</si>
  <si>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</si>
  <si>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</si>
  <si>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</si>
  <si>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</si>
  <si>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</si>
  <si>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</si>
  <si>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</si>
  <si>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</si>
  <si>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</si>
  <si>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</si>
  <si>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</si>
  <si>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</si>
  <si>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</si>
  <si>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</si>
  <si>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</si>
  <si>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</si>
  <si>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</si>
  <si>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</si>
  <si>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</si>
  <si>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</si>
  <si>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</si>
  <si>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</si>
  <si>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</si>
  <si>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</si>
  <si>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</si>
  <si>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</si>
  <si>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</si>
  <si>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</si>
  <si>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</si>
  <si>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</si>
  <si>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</si>
  <si>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</si>
  <si>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</si>
  <si>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</si>
  <si>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</si>
  <si>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</si>
  <si>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</si>
  <si>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</si>
  <si>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</si>
  <si>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</si>
  <si>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</si>
  <si>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</si>
  <si>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</si>
  <si>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</si>
  <si>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</si>
  <si>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</si>
  <si>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</si>
  <si>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</si>
  <si>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</si>
  <si>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</si>
  <si>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</si>
  <si>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</si>
  <si>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</si>
  <si>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</si>
  <si>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</si>
  <si>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</si>
  <si>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</si>
  <si>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</si>
  <si>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</si>
  <si>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</si>
  <si>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</si>
  <si>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</si>
  <si>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</si>
  <si>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</si>
  <si>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</si>
  <si>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</si>
  <si>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</si>
  <si>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</si>
  <si>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</si>
  <si>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</si>
  <si>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</si>
  <si>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</si>
  <si>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</si>
  <si>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</si>
  <si>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</si>
  <si>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</si>
  <si>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</si>
  <si>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</si>
  <si>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</si>
  <si>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</si>
  <si>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</si>
  <si>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</si>
  <si>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</si>
  <si>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</si>
  <si>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</si>
  <si>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</si>
  <si>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</si>
  <si>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</si>
  <si>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</si>
  <si>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</si>
  <si>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</si>
  <si>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</si>
  <si>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</si>
  <si>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</si>
  <si>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</si>
  <si>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</si>
  <si>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</si>
  <si>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</si>
  <si>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</si>
  <si>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</si>
  <si>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</si>
  <si>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</si>
  <si>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</si>
  <si>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</si>
  <si>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</si>
  <si>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</si>
  <si>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</si>
  <si>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</si>
  <si>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</si>
  <si>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</si>
  <si>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</si>
  <si>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</si>
  <si>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</si>
  <si>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</si>
  <si>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</si>
  <si>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</si>
  <si>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</si>
  <si>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</si>
  <si>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</si>
  <si>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</si>
  <si>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</si>
  <si>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</si>
  <si>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</si>
  <si>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</si>
  <si>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</si>
  <si>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</si>
  <si>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</si>
  <si>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</si>
  <si>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</si>
  <si>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</si>
  <si>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</si>
  <si>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</si>
  <si>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</si>
  <si>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</si>
  <si>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</si>
  <si>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</si>
  <si>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</si>
  <si>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</si>
  <si>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</si>
  <si>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</si>
  <si>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</si>
  <si>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</si>
  <si>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</si>
  <si>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</si>
  <si>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</si>
  <si>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</si>
  <si>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</si>
  <si>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</si>
  <si>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</si>
  <si>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</si>
  <si>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</si>
  <si>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</si>
  <si>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</si>
  <si>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</si>
  <si>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</si>
  <si>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</si>
  <si>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</si>
  <si>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</si>
  <si>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</si>
  <si>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</si>
  <si>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</si>
  <si>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</si>
  <si>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</si>
  <si>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</si>
  <si>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</si>
  <si>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</si>
  <si>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</si>
  <si>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</si>
  <si>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</si>
  <si>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</si>
  <si>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</si>
  <si>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</si>
  <si>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</si>
  <si>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</si>
  <si>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</si>
  <si>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</si>
  <si>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</si>
  <si>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</si>
  <si>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</si>
  <si>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</si>
  <si>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</si>
  <si>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</si>
  <si>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</si>
  <si>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</si>
  <si>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</si>
  <si>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</si>
  <si>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</si>
  <si>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</si>
  <si>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</si>
  <si>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</si>
  <si>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</si>
  <si>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</si>
  <si>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</si>
  <si>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</si>
  <si>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</si>
  <si>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</si>
  <si>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</si>
  <si>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</si>
  <si>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</si>
  <si>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</si>
  <si>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</si>
  <si>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</si>
  <si>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</si>
  <si>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</si>
  <si>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</si>
  <si>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</si>
  <si>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</si>
  <si>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</si>
  <si>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</si>
  <si>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</si>
  <si>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</si>
  <si>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</si>
  <si>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</si>
  <si>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</si>
  <si>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</si>
  <si>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</si>
  <si>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</si>
  <si>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</si>
  <si>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</si>
  <si>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</si>
  <si>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</si>
  <si>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</si>
  <si>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</si>
  <si>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</si>
  <si>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</si>
  <si>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</si>
  <si>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</si>
  <si>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</si>
  <si>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</si>
  <si>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</si>
  <si>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</si>
  <si>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</si>
  <si>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</si>
  <si>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</si>
  <si>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</si>
  <si>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</si>
  <si>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</si>
  <si>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</si>
  <si>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</si>
  <si>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</si>
  <si>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</si>
  <si>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</si>
  <si>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</si>
  <si>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</si>
  <si>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</si>
  <si>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</si>
  <si>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</si>
  <si>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</si>
  <si>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</si>
  <si>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</si>
  <si>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</si>
  <si>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</si>
  <si>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</si>
  <si>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</si>
  <si>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</si>
  <si>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</si>
  <si>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</si>
  <si>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</si>
  <si>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</si>
  <si>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</si>
  <si>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</si>
  <si>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</si>
  <si>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</si>
  <si>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</si>
  <si>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</si>
  <si>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</si>
  <si>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</si>
  <si>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</si>
  <si>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</si>
  <si>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</si>
  <si>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</si>
  <si>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</si>
  <si>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</si>
  <si>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</si>
  <si>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</si>
  <si>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</si>
  <si>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</si>
  <si>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</si>
  <si>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</si>
  <si>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</si>
  <si>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</si>
  <si>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</si>
  <si>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</si>
  <si>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</si>
  <si>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</si>
  <si>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</si>
  <si>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</si>
  <si>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</si>
  <si>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</si>
  <si>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</si>
  <si>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</si>
  <si>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</si>
  <si>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</si>
  <si>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</si>
  <si>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</si>
  <si>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</si>
  <si>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</si>
  <si>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</si>
  <si>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</si>
  <si>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</si>
  <si>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</si>
  <si>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</si>
  <si>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</si>
  <si>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</si>
  <si>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</si>
  <si>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</si>
  <si>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</si>
  <si>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</si>
  <si>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</si>
  <si>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</si>
  <si>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</si>
  <si>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</si>
  <si>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</si>
  <si>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</si>
  <si>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</si>
  <si>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</si>
  <si>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</si>
  <si>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</si>
  <si>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</si>
  <si>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</si>
  <si>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</si>
  <si>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</si>
  <si>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</si>
  <si>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</si>
  <si>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</si>
  <si>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</si>
  <si>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</si>
  <si>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</si>
  <si>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</si>
  <si>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</si>
  <si>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</si>
  <si>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</si>
  <si>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</si>
  <si>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</si>
  <si>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</si>
  <si>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</si>
  <si>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</si>
  <si>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</si>
  <si>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</si>
  <si>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</si>
  <si>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</si>
  <si>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</si>
  <si>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</si>
  <si>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</si>
  <si>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</si>
  <si>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</si>
  <si>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</si>
  <si>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</si>
  <si>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</si>
  <si>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</si>
  <si>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</si>
  <si>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</si>
  <si>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</si>
  <si>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</si>
  <si>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</si>
  <si>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</si>
  <si>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</si>
  <si>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</si>
  <si>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</si>
  <si>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</si>
  <si>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</si>
  <si>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</si>
  <si>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</si>
  <si>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</si>
  <si>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</si>
  <si>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</si>
  <si>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</si>
  <si>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</si>
  <si>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</si>
  <si>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</si>
  <si>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</si>
  <si>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</si>
  <si>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</si>
  <si>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</si>
  <si>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</si>
  <si>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</si>
  <si>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</si>
  <si>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</si>
  <si>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</si>
  <si>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</si>
  <si>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</si>
  <si>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</si>
  <si>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</si>
  <si>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</si>
  <si>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17055681355</t>
  </si>
  <si>
    <t>01316419</t>
  </si>
  <si>
    <t>080173330</t>
  </si>
  <si>
    <t>KOMUNALAC d.o.o.</t>
  </si>
  <si>
    <t>SAMOBOR</t>
  </si>
  <si>
    <t>Ul. 151. samoborske brigade HV 2</t>
  </si>
  <si>
    <t>komunalac@komunalac-samobor.hr</t>
  </si>
  <si>
    <t>01/5554-300</t>
  </si>
  <si>
    <t>www.komunalac-samobor.hr</t>
  </si>
  <si>
    <t>Antonija Vrbančić</t>
  </si>
  <si>
    <t>01/5554-311</t>
  </si>
  <si>
    <t>antonija-vrbancic@komunalac-samobor.hr</t>
  </si>
  <si>
    <t>Renato Raguž, dipl.ing.stroj.</t>
  </si>
  <si>
    <t>51963172472</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</si>
</sst>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5159106.72</v>
      </c>
      <c r="I3" s="27">
        <f>ABS(ROUND(J3,0)-J3)+ABS(ROUND(K3,0)-K3)</f>
        <v>0</v>
      </c>
      <c r="J3" s="27">
        <f>Bilanca!I10</f>
        <v>89569464</v>
      </c>
      <c r="K3" s="27">
        <f>Bilanca!J10</f>
        <v>84192936</v>
      </c>
    </row>
    <row r="4" spans="1:11" ht="12.75">
      <c r="A4" s="4" t="s">
        <v>2697</v>
      </c>
      <c r="B4" s="25" t="s">
        <v>364</v>
      </c>
      <c r="D4" s="4" t="s">
        <v>554</v>
      </c>
      <c r="E4" s="4">
        <v>1</v>
      </c>
      <c r="F4" s="4">
        <f>Bilanca!G11</f>
        <v>3</v>
      </c>
      <c r="G4" s="4">
        <f>IF(Bilanca!H11=0,"",Bilanca!H11)</f>
      </c>
      <c r="H4" s="26">
        <f>J4/100*F4+2*K4/100*F4</f>
        <v>10840.8</v>
      </c>
      <c r="I4" s="27">
        <f>ABS(ROUND(J4,0)-J4)+ABS(ROUND(K4,0)-K4)</f>
        <v>0</v>
      </c>
      <c r="J4" s="27">
        <f>Bilanca!I11</f>
        <v>138286</v>
      </c>
      <c r="K4" s="27">
        <f>Bilanca!J11</f>
        <v>111537</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01316419</v>
      </c>
      <c r="D6" s="4" t="s">
        <v>554</v>
      </c>
      <c r="E6" s="4">
        <v>1</v>
      </c>
      <c r="F6" s="4">
        <f>Bilanca!G13</f>
        <v>5</v>
      </c>
      <c r="G6" s="4">
        <f>IF(Bilanca!H13=0,"",Bilanca!H13)</f>
      </c>
      <c r="H6" s="26">
        <f aca="true" t="shared" si="0" ref="H6:H45">J6/100*F6+2*K6/100*F6</f>
        <v>18068</v>
      </c>
      <c r="I6" s="27">
        <f aca="true" t="shared" si="1" ref="I6:I45">ABS(ROUND(J6,0)-J6)+ABS(ROUND(K6,0)-K6)</f>
        <v>0</v>
      </c>
      <c r="J6" s="27">
        <f>Bilanca!I13</f>
        <v>138286</v>
      </c>
      <c r="K6" s="27">
        <f>Bilanca!J13</f>
        <v>111537</v>
      </c>
    </row>
    <row r="7" spans="1:11" ht="12.75">
      <c r="A7" s="4" t="s">
        <v>1561</v>
      </c>
      <c r="B7" s="25" t="str">
        <f>RefStr!M27</f>
        <v>080173330</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17055681355</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KOMUNALAC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10430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SAMOBOR</v>
      </c>
      <c r="D11" s="4" t="s">
        <v>554</v>
      </c>
      <c r="E11" s="4">
        <v>1</v>
      </c>
      <c r="F11" s="4">
        <f>Bilanca!G18</f>
        <v>10</v>
      </c>
      <c r="G11" s="4">
        <f>IF(Bilanca!H18=0,"",Bilanca!H18)</f>
      </c>
      <c r="H11" s="26">
        <f t="shared" si="0"/>
        <v>25412575.700000003</v>
      </c>
      <c r="I11" s="27">
        <f t="shared" si="1"/>
        <v>0</v>
      </c>
      <c r="J11" s="27">
        <f>Bilanca!I18</f>
        <v>87726523</v>
      </c>
      <c r="K11" s="27">
        <f>Bilanca!J18</f>
        <v>83199617</v>
      </c>
    </row>
    <row r="12" spans="1:11" ht="12.75">
      <c r="A12" s="4" t="s">
        <v>2738</v>
      </c>
      <c r="B12" s="25" t="str">
        <f>TRIM(RefStr!C33)</f>
        <v>Ul. 151. samoborske brigade HV 2</v>
      </c>
      <c r="D12" s="4" t="s">
        <v>554</v>
      </c>
      <c r="E12" s="4">
        <v>1</v>
      </c>
      <c r="F12" s="4">
        <f>Bilanca!G19</f>
        <v>11</v>
      </c>
      <c r="G12" s="4">
        <f>IF(Bilanca!H19=0,"",Bilanca!H19)</f>
      </c>
      <c r="H12" s="26">
        <f t="shared" si="0"/>
        <v>2637242.19</v>
      </c>
      <c r="I12" s="27">
        <f t="shared" si="1"/>
        <v>0</v>
      </c>
      <c r="J12" s="27">
        <f>Bilanca!I19</f>
        <v>8447207</v>
      </c>
      <c r="K12" s="27">
        <f>Bilanca!J19</f>
        <v>7763861</v>
      </c>
    </row>
    <row r="13" spans="1:11" ht="12.75">
      <c r="A13" s="4" t="s">
        <v>2884</v>
      </c>
      <c r="B13" s="25" t="str">
        <f>TRIM(RefStr!C35)</f>
        <v>komunalac@komunalac-samobor.hr</v>
      </c>
      <c r="D13" s="4" t="s">
        <v>554</v>
      </c>
      <c r="E13" s="4">
        <v>1</v>
      </c>
      <c r="F13" s="4">
        <f>Bilanca!G20</f>
        <v>12</v>
      </c>
      <c r="G13" s="4">
        <f>IF(Bilanca!H20=0,"",Bilanca!H20)</f>
      </c>
      <c r="H13" s="26">
        <f t="shared" si="0"/>
        <v>19670669.4</v>
      </c>
      <c r="I13" s="27">
        <f t="shared" si="1"/>
        <v>0</v>
      </c>
      <c r="J13" s="27">
        <f>Bilanca!I20</f>
        <v>55734703</v>
      </c>
      <c r="K13" s="27">
        <f>Bilanca!J20</f>
        <v>54093771</v>
      </c>
    </row>
    <row r="14" spans="1:11" ht="12.75">
      <c r="A14" s="4" t="s">
        <v>2885</v>
      </c>
      <c r="B14" s="25" t="str">
        <f>TRIM(RefStr!C37)</f>
        <v>www.komunalac-samobor.hr</v>
      </c>
      <c r="D14" s="4" t="s">
        <v>554</v>
      </c>
      <c r="E14" s="4">
        <v>1</v>
      </c>
      <c r="F14" s="4">
        <f>Bilanca!G21</f>
        <v>13</v>
      </c>
      <c r="G14" s="4">
        <f>IF(Bilanca!H21=0,"",Bilanca!H21)</f>
      </c>
      <c r="H14" s="26">
        <f t="shared" si="0"/>
        <v>1484632.24</v>
      </c>
      <c r="I14" s="27">
        <f t="shared" si="1"/>
        <v>0</v>
      </c>
      <c r="J14" s="27">
        <f>Bilanca!I21</f>
        <v>4167268</v>
      </c>
      <c r="K14" s="27">
        <f>Bilanca!J21</f>
        <v>3626490</v>
      </c>
    </row>
    <row r="15" spans="1:11" ht="12.75">
      <c r="A15" s="4" t="s">
        <v>2741</v>
      </c>
      <c r="B15" s="25" t="str">
        <f>TEXT(RefStr!J39,"00")</f>
        <v>01</v>
      </c>
      <c r="D15" s="4" t="s">
        <v>554</v>
      </c>
      <c r="E15" s="4">
        <v>1</v>
      </c>
      <c r="F15" s="4">
        <f>Bilanca!G22</f>
        <v>14</v>
      </c>
      <c r="G15" s="4">
        <f>IF(Bilanca!H22=0,"",Bilanca!H22)</f>
      </c>
      <c r="H15" s="26">
        <f t="shared" si="0"/>
        <v>3879746.3600000003</v>
      </c>
      <c r="I15" s="27">
        <f t="shared" si="1"/>
        <v>0</v>
      </c>
      <c r="J15" s="27">
        <f>Bilanca!I22</f>
        <v>10746926</v>
      </c>
      <c r="K15" s="27">
        <f>Bilanca!J22</f>
        <v>8482774</v>
      </c>
    </row>
    <row r="16" spans="1:11" ht="12.75">
      <c r="A16" s="4" t="s">
        <v>2740</v>
      </c>
      <c r="B16" s="25" t="str">
        <f>TEXT(RefStr!C39,"000")</f>
        <v>380</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4493454.96</v>
      </c>
      <c r="I18" s="27">
        <f t="shared" si="1"/>
        <v>0</v>
      </c>
      <c r="J18" s="27">
        <f>Bilanca!I25</f>
        <v>8405196</v>
      </c>
      <c r="K18" s="27">
        <f>Bilanca!J25</f>
        <v>9013446</v>
      </c>
    </row>
    <row r="19" spans="1:11" ht="12.75">
      <c r="A19" s="4" t="s">
        <v>2887</v>
      </c>
      <c r="B19" s="25" t="str">
        <f>IF(RefStr!I21&lt;&gt;"",RefStr!I21,"")</f>
        <v>DA</v>
      </c>
      <c r="D19" s="4" t="s">
        <v>554</v>
      </c>
      <c r="E19" s="4">
        <v>1</v>
      </c>
      <c r="F19" s="4">
        <f>Bilanca!G26</f>
        <v>18</v>
      </c>
      <c r="G19" s="4">
        <f>IF(Bilanca!H26=0,"",Bilanca!H26)</f>
      </c>
      <c r="H19" s="26">
        <f t="shared" si="0"/>
        <v>119479.14</v>
      </c>
      <c r="I19" s="27">
        <f t="shared" si="1"/>
        <v>0</v>
      </c>
      <c r="J19" s="27">
        <f>Bilanca!I26</f>
        <v>225223</v>
      </c>
      <c r="K19" s="27">
        <f>Bilanca!J26</f>
        <v>219275</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669278.6</v>
      </c>
      <c r="I21" s="27">
        <f t="shared" si="1"/>
        <v>0</v>
      </c>
      <c r="J21" s="27">
        <f>Bilanca!I28</f>
        <v>1660675</v>
      </c>
      <c r="K21" s="27">
        <f>Bilanca!J28</f>
        <v>842859</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253</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240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251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238</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936990.04</v>
      </c>
      <c r="I29" s="27">
        <f t="shared" si="1"/>
        <v>0</v>
      </c>
      <c r="J29" s="27">
        <f>Bilanca!I36</f>
        <v>1660675</v>
      </c>
      <c r="K29" s="27">
        <f>Bilanca!J36</f>
        <v>842859</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37766.060000000005</v>
      </c>
      <c r="I32" s="27">
        <f t="shared" si="1"/>
        <v>0</v>
      </c>
      <c r="J32" s="27">
        <f>Bilanca!I39</f>
        <v>43980</v>
      </c>
      <c r="K32" s="27">
        <f>Bilanca!J39</f>
        <v>38923</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42639.100000000006</v>
      </c>
      <c r="I36" s="27">
        <f t="shared" si="1"/>
        <v>0</v>
      </c>
      <c r="J36" s="27">
        <f>Bilanca!I43</f>
        <v>43980</v>
      </c>
      <c r="K36" s="27">
        <f>Bilanca!J43</f>
        <v>38923</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34241163.82</v>
      </c>
      <c r="I38" s="27">
        <f t="shared" si="1"/>
        <v>0</v>
      </c>
      <c r="J38" s="27">
        <f>Bilanca!I45</f>
        <v>29122298</v>
      </c>
      <c r="K38" s="27">
        <f>Bilanca!J45</f>
        <v>31710694</v>
      </c>
    </row>
    <row r="39" spans="1:11" ht="12.75">
      <c r="A39" s="4" t="s">
        <v>1611</v>
      </c>
      <c r="B39" s="25" t="str">
        <f>RefStr!C68</f>
        <v>Antonija Vrbančić</v>
      </c>
      <c r="D39" s="4" t="s">
        <v>554</v>
      </c>
      <c r="E39" s="4">
        <v>1</v>
      </c>
      <c r="F39" s="4">
        <f>Bilanca!G46</f>
        <v>38</v>
      </c>
      <c r="G39" s="4">
        <f>IF(Bilanca!H46=0,"",Bilanca!H46)</f>
      </c>
      <c r="H39" s="26">
        <f t="shared" si="0"/>
        <v>1531210.76</v>
      </c>
      <c r="I39" s="27">
        <f t="shared" si="1"/>
        <v>0</v>
      </c>
      <c r="J39" s="27">
        <f>Bilanca!I46</f>
        <v>1201480</v>
      </c>
      <c r="K39" s="27">
        <f>Bilanca!J46</f>
        <v>1414011</v>
      </c>
    </row>
    <row r="40" spans="1:11" ht="12.75">
      <c r="A40" s="4" t="s">
        <v>1612</v>
      </c>
      <c r="B40" s="25" t="str">
        <f>TRIM(RefStr!C70)</f>
        <v>01/5554-311</v>
      </c>
      <c r="D40" s="4" t="s">
        <v>554</v>
      </c>
      <c r="E40" s="4">
        <v>1</v>
      </c>
      <c r="F40" s="4">
        <f>Bilanca!G47</f>
        <v>39</v>
      </c>
      <c r="G40" s="4">
        <f>IF(Bilanca!H47=0,"",Bilanca!H47)</f>
      </c>
      <c r="H40" s="26">
        <f t="shared" si="0"/>
        <v>777911.1599999999</v>
      </c>
      <c r="I40" s="27">
        <f t="shared" si="1"/>
        <v>0</v>
      </c>
      <c r="J40" s="27">
        <f>Bilanca!I47</f>
        <v>606636</v>
      </c>
      <c r="K40" s="27">
        <f>Bilanca!J47</f>
        <v>694004</v>
      </c>
    </row>
    <row r="41" spans="1:11" ht="12.75">
      <c r="A41" s="4" t="s">
        <v>1613</v>
      </c>
      <c r="B41" s="25" t="s">
        <v>72</v>
      </c>
      <c r="D41" s="4" t="s">
        <v>554</v>
      </c>
      <c r="E41" s="4">
        <v>1</v>
      </c>
      <c r="F41" s="4">
        <f>Bilanca!G48</f>
        <v>40</v>
      </c>
      <c r="G41" s="4">
        <f>IF(Bilanca!H48=0,"",Bilanca!H48)</f>
      </c>
      <c r="H41" s="26">
        <f t="shared" si="0"/>
        <v>173482.8</v>
      </c>
      <c r="I41" s="27">
        <f t="shared" si="1"/>
        <v>0</v>
      </c>
      <c r="J41" s="27">
        <f>Bilanca!I48</f>
        <v>161331</v>
      </c>
      <c r="K41" s="27">
        <f>Bilanca!J48</f>
        <v>136188</v>
      </c>
    </row>
    <row r="42" spans="1:11" ht="12.75">
      <c r="A42" s="4" t="s">
        <v>1300</v>
      </c>
      <c r="B42" s="25" t="str">
        <f>TRIM(RefStr!C72)</f>
        <v>antonija-vrbancic@komunalac-samobor.hr</v>
      </c>
      <c r="D42" s="4" t="s">
        <v>554</v>
      </c>
      <c r="E42" s="4">
        <v>1</v>
      </c>
      <c r="F42" s="4">
        <f>Bilanca!G49</f>
        <v>41</v>
      </c>
      <c r="G42" s="4">
        <f>IF(Bilanca!H49=0,"",Bilanca!H49)</f>
      </c>
      <c r="H42" s="26">
        <f t="shared" si="0"/>
        <v>533647.8</v>
      </c>
      <c r="I42" s="27">
        <f t="shared" si="1"/>
        <v>0</v>
      </c>
      <c r="J42" s="27">
        <f>Bilanca!I49</f>
        <v>348998</v>
      </c>
      <c r="K42" s="27">
        <f>Bilanca!J49</f>
        <v>476291</v>
      </c>
    </row>
    <row r="43" spans="1:11" ht="12.75">
      <c r="A43" s="4" t="s">
        <v>1299</v>
      </c>
      <c r="B43" s="25" t="str">
        <f>TRIM(RefStr!A75)</f>
        <v>Renato Raguž, dipl.ing.stroj.</v>
      </c>
      <c r="D43" s="4" t="s">
        <v>554</v>
      </c>
      <c r="E43" s="4">
        <v>1</v>
      </c>
      <c r="F43" s="4">
        <f>Bilanca!G50</f>
        <v>42</v>
      </c>
      <c r="G43" s="4">
        <f>IF(Bilanca!H50=0,"",Bilanca!H50)</f>
      </c>
      <c r="H43" s="26">
        <f t="shared" si="0"/>
        <v>125819.82</v>
      </c>
      <c r="I43" s="27">
        <f t="shared" si="1"/>
        <v>0</v>
      </c>
      <c r="J43" s="27">
        <f>Bilanca!I50</f>
        <v>84515</v>
      </c>
      <c r="K43" s="27">
        <f>Bilanca!J50</f>
        <v>107528</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37131752.92</v>
      </c>
      <c r="I47" s="27">
        <f t="shared" si="3"/>
        <v>0</v>
      </c>
      <c r="J47" s="27">
        <f>Bilanca!I54</f>
        <v>25362936</v>
      </c>
      <c r="K47" s="27">
        <f>Bilanca!J54</f>
        <v>27679133</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DA</v>
      </c>
      <c r="D50" s="4" t="s">
        <v>554</v>
      </c>
      <c r="E50" s="4">
        <v>1</v>
      </c>
      <c r="F50" s="4">
        <f>Bilanca!G57</f>
        <v>49</v>
      </c>
      <c r="G50" s="4">
        <f>IF(Bilanca!H57=0,"",Bilanca!H57)</f>
      </c>
      <c r="H50" s="26">
        <f t="shared" si="2"/>
        <v>10437678.65</v>
      </c>
      <c r="I50" s="27">
        <f t="shared" si="3"/>
        <v>0</v>
      </c>
      <c r="J50" s="27">
        <f>Bilanca!I57</f>
        <v>4961435</v>
      </c>
      <c r="K50" s="27">
        <f>Bilanca!J57</f>
        <v>8169975</v>
      </c>
    </row>
    <row r="51" spans="1:11" ht="12.75">
      <c r="A51" s="4" t="s">
        <v>1035</v>
      </c>
      <c r="B51" s="25" t="str">
        <f>RefStr!I60</f>
        <v>DA</v>
      </c>
      <c r="D51" s="4" t="s">
        <v>554</v>
      </c>
      <c r="E51" s="4">
        <v>1</v>
      </c>
      <c r="F51" s="4">
        <f>Bilanca!G58</f>
        <v>50</v>
      </c>
      <c r="G51" s="4">
        <f>IF(Bilanca!H58=0,"",Bilanca!H58)</f>
      </c>
      <c r="H51" s="26">
        <f t="shared" si="2"/>
        <v>2240</v>
      </c>
      <c r="I51" s="27">
        <f t="shared" si="3"/>
        <v>0</v>
      </c>
      <c r="J51" s="27">
        <f>Bilanca!I58</f>
        <v>1454</v>
      </c>
      <c r="K51" s="27">
        <f>Bilanca!J58</f>
        <v>1513</v>
      </c>
    </row>
    <row r="52" spans="1:11" ht="12.75">
      <c r="A52" s="4" t="s">
        <v>1614</v>
      </c>
      <c r="B52" s="25" t="s">
        <v>1237</v>
      </c>
      <c r="D52" s="4" t="s">
        <v>554</v>
      </c>
      <c r="E52" s="4">
        <v>1</v>
      </c>
      <c r="F52" s="4">
        <f>Bilanca!G59</f>
        <v>51</v>
      </c>
      <c r="G52" s="4">
        <f>IF(Bilanca!H59=0,"",Bilanca!H59)</f>
      </c>
      <c r="H52" s="26">
        <f t="shared" si="2"/>
        <v>125388.09</v>
      </c>
      <c r="I52" s="27">
        <f t="shared" si="3"/>
        <v>0</v>
      </c>
      <c r="J52" s="27">
        <f>Bilanca!I59</f>
        <v>110753</v>
      </c>
      <c r="K52" s="27">
        <f>Bilanca!J59</f>
        <v>67553</v>
      </c>
    </row>
    <row r="53" spans="1:11" ht="12.75">
      <c r="A53" s="4" t="s">
        <v>1301</v>
      </c>
      <c r="B53" s="25" t="str">
        <f>RefStr!I56</f>
        <v>DA</v>
      </c>
      <c r="D53" s="4" t="s">
        <v>554</v>
      </c>
      <c r="E53" s="4">
        <v>1</v>
      </c>
      <c r="F53" s="4">
        <f>Bilanca!G60</f>
        <v>52</v>
      </c>
      <c r="G53" s="4">
        <f>IF(Bilanca!H60=0,"",Bilanca!H60)</f>
      </c>
      <c r="H53" s="26">
        <f t="shared" si="2"/>
        <v>30768128.560000002</v>
      </c>
      <c r="I53" s="27">
        <f t="shared" si="3"/>
        <v>0</v>
      </c>
      <c r="J53" s="27">
        <f>Bilanca!I60</f>
        <v>20289294</v>
      </c>
      <c r="K53" s="27">
        <f>Bilanca!J60</f>
        <v>19440092</v>
      </c>
    </row>
    <row r="54" spans="1:11" ht="12.75">
      <c r="A54" s="4" t="s">
        <v>1302</v>
      </c>
      <c r="B54" s="25" t="str">
        <f>RefStr!I62</f>
        <v>DA</v>
      </c>
      <c r="D54" s="4" t="s">
        <v>554</v>
      </c>
      <c r="E54" s="4">
        <v>1</v>
      </c>
      <c r="F54" s="4">
        <f>Bilanca!G61</f>
        <v>53</v>
      </c>
      <c r="G54" s="4">
        <f>IF(Bilanca!H61=0,"",Bilanca!H61)</f>
      </c>
      <c r="H54" s="26">
        <f t="shared" si="2"/>
        <v>144084.74</v>
      </c>
      <c r="I54" s="27">
        <f t="shared" si="3"/>
        <v>0</v>
      </c>
      <c r="J54" s="27">
        <f>Bilanca!I61</f>
        <v>76632</v>
      </c>
      <c r="K54" s="27">
        <f>Bilanca!J61</f>
        <v>97613</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4850011085.74</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165833.38</v>
      </c>
      <c r="I62" s="27">
        <f t="shared" si="3"/>
        <v>0</v>
      </c>
      <c r="J62" s="27">
        <f>Bilanca!I69</f>
        <v>76632</v>
      </c>
      <c r="K62" s="27">
        <f>Bilanca!J69</f>
        <v>97613</v>
      </c>
    </row>
    <row r="63" spans="1:11" ht="12.75">
      <c r="A63" s="4" t="s">
        <v>614</v>
      </c>
      <c r="B63" s="25" t="str">
        <f>IF(ISNUMBER(VALUE(RefStr!L21)),TEXT(INT(VALUE(RefStr!L21)),"00000000000"),"")</f>
        <v>51963172472</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4738308.119999999</v>
      </c>
      <c r="I64" s="27">
        <f t="shared" si="3"/>
        <v>0</v>
      </c>
      <c r="J64" s="27">
        <f>Bilanca!I71</f>
        <v>2481250</v>
      </c>
      <c r="K64" s="27">
        <f>Bilanca!J71</f>
        <v>2519937</v>
      </c>
    </row>
    <row r="65" spans="1:11" ht="12.75">
      <c r="A65" s="4" t="s">
        <v>923</v>
      </c>
      <c r="B65" s="25" t="str">
        <f>TRIM(RefStr!N19)</f>
        <v>HSFI</v>
      </c>
      <c r="D65" s="4" t="s">
        <v>554</v>
      </c>
      <c r="E65" s="4">
        <v>1</v>
      </c>
      <c r="F65" s="4">
        <f>Bilanca!G72</f>
        <v>64</v>
      </c>
      <c r="G65" s="4">
        <f>IF(Bilanca!H72=0,"",Bilanca!H72)</f>
      </c>
      <c r="H65" s="26">
        <f t="shared" si="2"/>
        <v>3756.16</v>
      </c>
      <c r="I65" s="27">
        <f t="shared" si="3"/>
        <v>0</v>
      </c>
      <c r="J65" s="27">
        <f>Bilanca!I72</f>
        <v>3189</v>
      </c>
      <c r="K65" s="27">
        <f>Bilanca!J72</f>
        <v>1340</v>
      </c>
    </row>
    <row r="66" spans="1:11" ht="12.75">
      <c r="A66" s="4" t="s">
        <v>924</v>
      </c>
      <c r="B66" s="25">
        <f>RefStr!C23</f>
        <v>1</v>
      </c>
      <c r="D66" s="4" t="s">
        <v>554</v>
      </c>
      <c r="E66" s="4">
        <v>1</v>
      </c>
      <c r="F66" s="4">
        <f>Bilanca!G73</f>
        <v>65</v>
      </c>
      <c r="G66" s="4">
        <f>IF(Bilanca!H73=0,"",Bilanca!H73)</f>
      </c>
      <c r="H66" s="26">
        <f t="shared" si="2"/>
        <v>227828179.15</v>
      </c>
      <c r="I66" s="27">
        <f t="shared" si="3"/>
        <v>0</v>
      </c>
      <c r="J66" s="27">
        <f>Bilanca!I73</f>
        <v>118694951</v>
      </c>
      <c r="K66" s="27">
        <f>Bilanca!J73</f>
        <v>115904970</v>
      </c>
    </row>
    <row r="67" spans="1:11" ht="12.75">
      <c r="A67" s="4" t="s">
        <v>925</v>
      </c>
      <c r="B67" s="25" t="str">
        <f>TRIM(RefStr!L35)</f>
        <v>01/5554-300</v>
      </c>
      <c r="D67" s="4" t="s">
        <v>554</v>
      </c>
      <c r="E67" s="4">
        <v>1</v>
      </c>
      <c r="F67" s="4">
        <f>Bilanca!G74</f>
        <v>66</v>
      </c>
      <c r="G67" s="4">
        <f>IF(Bilanca!H74=0,"",Bilanca!H74)</f>
      </c>
      <c r="H67" s="26">
        <f t="shared" si="2"/>
        <v>163743303.9</v>
      </c>
      <c r="I67" s="27">
        <f t="shared" si="3"/>
        <v>0</v>
      </c>
      <c r="J67" s="27">
        <f>Bilanca!I74</f>
        <v>81495405</v>
      </c>
      <c r="K67" s="27">
        <f>Bilanca!J74</f>
        <v>83300255</v>
      </c>
    </row>
    <row r="68" spans="1:11" ht="12.75">
      <c r="A68" s="4" t="s">
        <v>926</v>
      </c>
      <c r="B68" s="25">
        <f>RefStr!C44</f>
        <v>1</v>
      </c>
      <c r="D68" s="4" t="s">
        <v>554</v>
      </c>
      <c r="E68" s="4">
        <v>1</v>
      </c>
      <c r="F68" s="4">
        <f>Bilanca!G76</f>
        <v>67</v>
      </c>
      <c r="G68" s="4">
        <f>IF(Bilanca!H76=0,"",Bilanca!H76)</f>
      </c>
      <c r="H68" s="26">
        <f t="shared" si="2"/>
        <v>96443170.1</v>
      </c>
      <c r="I68" s="27">
        <f t="shared" si="3"/>
        <v>0</v>
      </c>
      <c r="J68" s="27">
        <f>Bilanca!I76</f>
        <v>48649282</v>
      </c>
      <c r="K68" s="27">
        <f>Bilanca!J76</f>
        <v>47647874</v>
      </c>
    </row>
    <row r="69" spans="1:11" ht="12.75">
      <c r="A69" s="4" t="s">
        <v>927</v>
      </c>
      <c r="B69" s="25">
        <f>TRIM(RefStr!M46)</f>
      </c>
      <c r="D69" s="4" t="s">
        <v>554</v>
      </c>
      <c r="E69" s="4">
        <v>1</v>
      </c>
      <c r="F69" s="4">
        <f>Bilanca!G77</f>
        <v>68</v>
      </c>
      <c r="G69" s="4">
        <f>IF(Bilanca!H77=0,"",Bilanca!H77)</f>
      </c>
      <c r="H69" s="26">
        <f t="shared" si="2"/>
        <v>123259656</v>
      </c>
      <c r="I69" s="27">
        <f t="shared" si="3"/>
        <v>0</v>
      </c>
      <c r="J69" s="27">
        <f>Bilanca!I77</f>
        <v>60421400</v>
      </c>
      <c r="K69" s="27">
        <f>Bilanca!J77</f>
        <v>60421400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1515341.1</v>
      </c>
      <c r="I71" s="27">
        <f t="shared" si="3"/>
        <v>0</v>
      </c>
      <c r="J71" s="27">
        <f>Bilanca!I79</f>
        <v>721591</v>
      </c>
      <c r="K71" s="27">
        <f>Bilanca!J79</f>
        <v>721591</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1623579.75</v>
      </c>
      <c r="I76" s="27">
        <f t="shared" si="3"/>
        <v>0</v>
      </c>
      <c r="J76" s="27">
        <f>Bilanca!I84</f>
        <v>721591</v>
      </c>
      <c r="K76" s="27">
        <f>Bilanca!J84</f>
        <v>721591</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-28983745.25</v>
      </c>
      <c r="I84" s="27">
        <f t="shared" si="3"/>
        <v>0</v>
      </c>
      <c r="J84" s="27">
        <f>Bilanca!I92</f>
        <v>-9932755</v>
      </c>
      <c r="K84" s="27">
        <f>Bilanca!J92</f>
        <v>-12493710</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29682148.75</v>
      </c>
      <c r="I86" s="27">
        <f t="shared" si="3"/>
        <v>0</v>
      </c>
      <c r="J86" s="27">
        <f>Bilanca!I94</f>
        <v>9932755</v>
      </c>
      <c r="K86" s="27">
        <f>Bilanca!J94</f>
        <v>12493710</v>
      </c>
    </row>
    <row r="87" spans="4:11" ht="12.75">
      <c r="D87" s="4" t="s">
        <v>554</v>
      </c>
      <c r="E87" s="4">
        <v>1</v>
      </c>
      <c r="F87" s="4">
        <f>Bilanca!G95</f>
        <v>86</v>
      </c>
      <c r="G87" s="4">
        <f>IF(Bilanca!H95=0,"",Bilanca!H95)</f>
      </c>
      <c r="H87" s="26">
        <f>J87/100*F87+2*K87/100*F87</f>
        <v>-3924840.48</v>
      </c>
      <c r="I87" s="27">
        <f>ABS(ROUND(J87,0)-J87)+ABS(ROUND(K87,0)-K87)</f>
        <v>0</v>
      </c>
      <c r="J87" s="27">
        <f>Bilanca!I95</f>
        <v>-2560954</v>
      </c>
      <c r="K87" s="27">
        <f>Bilanca!J95</f>
        <v>-1001407</v>
      </c>
    </row>
    <row r="88" spans="4:11" ht="12.75">
      <c r="D88" s="4" t="s">
        <v>554</v>
      </c>
      <c r="E88" s="4">
        <v>1</v>
      </c>
      <c r="F88" s="4">
        <f>Bilanca!G96</f>
        <v>87</v>
      </c>
      <c r="G88" s="4">
        <f>IF(Bilanca!H96=0,"",Bilanca!H96)</f>
      </c>
      <c r="H88" s="26">
        <f>J88/100*F88+2*K88/100*F88</f>
        <v>0</v>
      </c>
      <c r="I88" s="27">
        <f>ABS(ROUND(J88,0)-J88)+ABS(ROUND(K88,0)-K88)</f>
        <v>0</v>
      </c>
      <c r="J88" s="27">
        <f>Bilanca!I96</f>
        <v>0</v>
      </c>
      <c r="K88" s="27">
        <f>Bilanca!J96</f>
        <v>0</v>
      </c>
    </row>
    <row r="89" spans="4:11" ht="12.75">
      <c r="D89" s="4" t="s">
        <v>554</v>
      </c>
      <c r="E89" s="4">
        <v>1</v>
      </c>
      <c r="F89" s="4">
        <f>Bilanca!G97</f>
        <v>88</v>
      </c>
      <c r="G89" s="4">
        <f>IF(Bilanca!H97=0,"",Bilanca!H97)</f>
      </c>
      <c r="H89" s="26">
        <f aca="true" t="shared" si="4" ref="H89:H129">J89/100*F89+2*K89/100*F89</f>
        <v>4016115.84</v>
      </c>
      <c r="I89" s="27">
        <f aca="true" t="shared" si="5" ref="I89:I129">ABS(ROUND(J89,0)-J89)+ABS(ROUND(K89,0)-K89)</f>
        <v>0</v>
      </c>
      <c r="J89" s="27">
        <f>Bilanca!I97</f>
        <v>2560954</v>
      </c>
      <c r="K89" s="27">
        <f>Bilanca!J97</f>
        <v>1001407</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1251261.9000000001</v>
      </c>
      <c r="I91" s="27">
        <f t="shared" si="5"/>
        <v>0</v>
      </c>
      <c r="J91" s="27">
        <f>Bilanca!I99</f>
        <v>516397</v>
      </c>
      <c r="K91" s="27">
        <f>Bilanca!J99</f>
        <v>436947</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1292970.6300000001</v>
      </c>
      <c r="I94" s="27">
        <f t="shared" si="5"/>
        <v>0</v>
      </c>
      <c r="J94" s="27">
        <f>Bilanca!I102</f>
        <v>516397</v>
      </c>
      <c r="K94" s="27">
        <f>Bilanca!J102</f>
        <v>436947</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30408811.300000004</v>
      </c>
      <c r="I98" s="27">
        <f t="shared" si="5"/>
        <v>0</v>
      </c>
      <c r="J98" s="27">
        <f>Bilanca!I106</f>
        <v>13480826</v>
      </c>
      <c r="K98" s="27">
        <f>Bilanca!J106</f>
        <v>8934232</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32199801.29</v>
      </c>
      <c r="I104" s="27">
        <f t="shared" si="5"/>
        <v>0</v>
      </c>
      <c r="J104" s="27">
        <f>Bilanca!I112</f>
        <v>13424777</v>
      </c>
      <c r="K104" s="27">
        <f>Bilanca!J112</f>
        <v>8918583</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93461.29000000001</v>
      </c>
      <c r="I108" s="27">
        <f t="shared" si="5"/>
        <v>0</v>
      </c>
      <c r="J108" s="27">
        <f>Bilanca!I116</f>
        <v>56049</v>
      </c>
      <c r="K108" s="27">
        <f>Bilanca!J116</f>
        <v>15649</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122291676.91</v>
      </c>
      <c r="I110" s="27">
        <f t="shared" si="5"/>
        <v>0</v>
      </c>
      <c r="J110" s="27">
        <f>Bilanca!I118</f>
        <v>36600819</v>
      </c>
      <c r="K110" s="27">
        <f>Bilanca!J118</f>
        <v>37796690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380382.66000000003</v>
      </c>
      <c r="I115" s="27">
        <f t="shared" si="5"/>
        <v>0</v>
      </c>
      <c r="J115" s="27">
        <f>Bilanca!I123</f>
        <v>114425</v>
      </c>
      <c r="K115" s="27">
        <f>Bilanca!J123</f>
        <v>109622</v>
      </c>
    </row>
    <row r="116" spans="4:11" ht="12.75">
      <c r="D116" s="4" t="s">
        <v>554</v>
      </c>
      <c r="E116" s="4">
        <v>1</v>
      </c>
      <c r="F116" s="4">
        <f>Bilanca!G124</f>
        <v>115</v>
      </c>
      <c r="G116" s="4">
        <f>IF(Bilanca!H124=0,"",Bilanca!H124)</f>
      </c>
      <c r="H116" s="26">
        <f t="shared" si="4"/>
        <v>27602168.900000002</v>
      </c>
      <c r="I116" s="27">
        <f t="shared" si="5"/>
        <v>0</v>
      </c>
      <c r="J116" s="27">
        <f>Bilanca!I124</f>
        <v>8926872</v>
      </c>
      <c r="K116" s="27">
        <f>Bilanca!J124</f>
        <v>7537507</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22806716.4</v>
      </c>
      <c r="I118" s="27">
        <f t="shared" si="5"/>
        <v>0</v>
      </c>
      <c r="J118" s="27">
        <f>Bilanca!I126</f>
        <v>4808226</v>
      </c>
      <c r="K118" s="27">
        <f>Bilanca!J126</f>
        <v>7342347</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8236530.260000001</v>
      </c>
      <c r="I120" s="27">
        <f t="shared" si="5"/>
        <v>0</v>
      </c>
      <c r="J120" s="27">
        <f>Bilanca!I128</f>
        <v>2095014</v>
      </c>
      <c r="K120" s="27">
        <f>Bilanca!J128</f>
        <v>2413220</v>
      </c>
    </row>
    <row r="121" spans="4:11" ht="12.75">
      <c r="D121" s="4" t="s">
        <v>554</v>
      </c>
      <c r="E121" s="4">
        <v>1</v>
      </c>
      <c r="F121" s="4">
        <f>Bilanca!G129</f>
        <v>120</v>
      </c>
      <c r="G121" s="4">
        <f>IF(Bilanca!H129=0,"",Bilanca!H129)</f>
      </c>
      <c r="H121" s="26">
        <f t="shared" si="4"/>
        <v>2558835.6</v>
      </c>
      <c r="I121" s="27">
        <f t="shared" si="5"/>
        <v>0</v>
      </c>
      <c r="J121" s="27">
        <f>Bilanca!I129</f>
        <v>457395</v>
      </c>
      <c r="K121" s="27">
        <f>Bilanca!J129</f>
        <v>837484</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72953645.61</v>
      </c>
      <c r="I124" s="27">
        <f t="shared" si="5"/>
        <v>0</v>
      </c>
      <c r="J124" s="27">
        <f>Bilanca!I132</f>
        <v>20198887</v>
      </c>
      <c r="K124" s="27">
        <f>Bilanca!J132</f>
        <v>19556510</v>
      </c>
    </row>
    <row r="125" spans="4:11" ht="12.75">
      <c r="D125" s="4" t="s">
        <v>554</v>
      </c>
      <c r="E125" s="4">
        <v>1</v>
      </c>
      <c r="F125" s="4">
        <f>Bilanca!G133</f>
        <v>124</v>
      </c>
      <c r="G125" s="4">
        <f>IF(Bilanca!H133=0,"",Bilanca!H133)</f>
      </c>
      <c r="H125" s="26">
        <f t="shared" si="4"/>
        <v>76416340.44</v>
      </c>
      <c r="I125" s="27">
        <f t="shared" si="5"/>
        <v>0</v>
      </c>
      <c r="J125" s="27">
        <f>Bilanca!I133</f>
        <v>19447627</v>
      </c>
      <c r="K125" s="27">
        <f>Bilanca!J133</f>
        <v>21089227</v>
      </c>
    </row>
    <row r="126" spans="4:11" ht="12.75">
      <c r="D126" s="4" t="s">
        <v>554</v>
      </c>
      <c r="E126" s="4">
        <v>1</v>
      </c>
      <c r="F126" s="4">
        <f>Bilanca!G134</f>
        <v>125</v>
      </c>
      <c r="G126" s="4">
        <f>IF(Bilanca!H134=0,"",Bilanca!H134)</f>
      </c>
      <c r="H126" s="26">
        <f t="shared" si="4"/>
        <v>438131113.75</v>
      </c>
      <c r="I126" s="27">
        <f t="shared" si="5"/>
        <v>0</v>
      </c>
      <c r="J126" s="27">
        <f>Bilanca!I134</f>
        <v>118694951</v>
      </c>
      <c r="K126" s="27">
        <f>Bilanca!J134</f>
        <v>115904970</v>
      </c>
    </row>
    <row r="127" spans="4:11" ht="12.75">
      <c r="D127" s="4" t="s">
        <v>554</v>
      </c>
      <c r="E127" s="4">
        <v>1</v>
      </c>
      <c r="F127" s="4">
        <f>Bilanca!G135</f>
        <v>126</v>
      </c>
      <c r="G127" s="4">
        <f>IF(Bilanca!H135=0,"",Bilanca!H135)</f>
      </c>
      <c r="H127" s="26">
        <f t="shared" si="4"/>
        <v>312600852.90000004</v>
      </c>
      <c r="I127" s="27">
        <f t="shared" si="5"/>
        <v>0</v>
      </c>
      <c r="J127" s="27">
        <f>Bilanca!I135</f>
        <v>81495405</v>
      </c>
      <c r="K127" s="27">
        <f>Bilanca!J135</f>
        <v>83300255</v>
      </c>
    </row>
    <row r="128" spans="4:11" ht="12.75">
      <c r="D128" s="4" t="s">
        <v>794</v>
      </c>
      <c r="E128" s="4">
        <v>2</v>
      </c>
      <c r="F128" s="4">
        <f>RDG!G8</f>
        <v>127</v>
      </c>
      <c r="G128" s="4">
        <f>IF(RDG!H8=0,"",RDG!H8)</f>
      </c>
      <c r="H128" s="26">
        <f t="shared" si="4"/>
        <v>260463898.68</v>
      </c>
      <c r="I128" s="4">
        <f t="shared" si="5"/>
        <v>0</v>
      </c>
      <c r="J128" s="27">
        <f>RDG!I8</f>
        <v>60081726</v>
      </c>
      <c r="K128" s="27">
        <f>RDG!J8</f>
        <v>72503979</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254444696.79</v>
      </c>
      <c r="I130" s="4">
        <f aca="true" t="shared" si="7" ref="I130:I192">ABS(ROUND(J130,0)-J130)+ABS(ROUND(K130,0)-K130)</f>
        <v>0</v>
      </c>
      <c r="J130" s="27">
        <f>RDG!I10</f>
        <v>57852311</v>
      </c>
      <c r="K130" s="27">
        <f>RDG!J10</f>
        <v>69695820</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10356367.56</v>
      </c>
      <c r="I133" s="4">
        <f t="shared" si="7"/>
        <v>0</v>
      </c>
      <c r="J133" s="27">
        <f>RDG!I13</f>
        <v>2229415</v>
      </c>
      <c r="K133" s="27">
        <f>RDG!J13</f>
        <v>2808159</v>
      </c>
    </row>
    <row r="134" spans="4:11" ht="12.75">
      <c r="D134" s="4" t="s">
        <v>794</v>
      </c>
      <c r="E134" s="4">
        <v>2</v>
      </c>
      <c r="F134" s="4">
        <f>RDG!G14</f>
        <v>133</v>
      </c>
      <c r="G134" s="4">
        <f>IF(RDG!H14=0,"",RDG!H14)</f>
      </c>
      <c r="H134" s="26">
        <f t="shared" si="6"/>
        <v>277893675.28999996</v>
      </c>
      <c r="I134" s="4">
        <f t="shared" si="7"/>
        <v>0</v>
      </c>
      <c r="J134" s="27">
        <f>RDG!I14</f>
        <v>62380849</v>
      </c>
      <c r="K134" s="27">
        <f>RDG!J14</f>
        <v>73280882</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123059848.05000001</v>
      </c>
      <c r="I136" s="4">
        <f t="shared" si="7"/>
        <v>0</v>
      </c>
      <c r="J136" s="27">
        <f>RDG!I16</f>
        <v>23674237</v>
      </c>
      <c r="K136" s="27">
        <f>RDG!J16</f>
        <v>33740603</v>
      </c>
    </row>
    <row r="137" spans="4:11" ht="12.75">
      <c r="D137" s="4" t="s">
        <v>794</v>
      </c>
      <c r="E137" s="4">
        <v>2</v>
      </c>
      <c r="F137" s="4">
        <f>RDG!G17</f>
        <v>136</v>
      </c>
      <c r="G137" s="4">
        <f>IF(RDG!H17=0,"",RDG!H17)</f>
      </c>
      <c r="H137" s="26">
        <f t="shared" si="6"/>
        <v>44053472.24</v>
      </c>
      <c r="I137" s="4">
        <f t="shared" si="7"/>
        <v>0</v>
      </c>
      <c r="J137" s="27">
        <f>RDG!I17</f>
        <v>9791705</v>
      </c>
      <c r="K137" s="27">
        <f>RDG!J17</f>
        <v>11300277</v>
      </c>
    </row>
    <row r="138" spans="4:11" ht="12.75">
      <c r="D138" s="4" t="s">
        <v>794</v>
      </c>
      <c r="E138" s="4">
        <v>2</v>
      </c>
      <c r="F138" s="4">
        <f>RDG!G18</f>
        <v>137</v>
      </c>
      <c r="G138" s="4">
        <f>IF(RDG!H18=0,"",RDG!H18)</f>
      </c>
      <c r="H138" s="26">
        <f t="shared" si="6"/>
        <v>3045812.7699999996</v>
      </c>
      <c r="I138" s="4">
        <f t="shared" si="7"/>
        <v>0</v>
      </c>
      <c r="J138" s="27">
        <f>RDG!I18</f>
        <v>841821</v>
      </c>
      <c r="K138" s="27">
        <f>RDG!J18</f>
        <v>690700</v>
      </c>
    </row>
    <row r="139" spans="4:11" ht="12.75">
      <c r="D139" s="4" t="s">
        <v>794</v>
      </c>
      <c r="E139" s="4">
        <v>2</v>
      </c>
      <c r="F139" s="4">
        <f>RDG!G19</f>
        <v>138</v>
      </c>
      <c r="G139" s="4">
        <f>IF(RDG!H19=0,"",RDG!H19)</f>
      </c>
      <c r="H139" s="26">
        <f t="shared" si="6"/>
        <v>78025148.94</v>
      </c>
      <c r="I139" s="4">
        <f t="shared" si="7"/>
        <v>0</v>
      </c>
      <c r="J139" s="27">
        <f>RDG!I19</f>
        <v>13040711</v>
      </c>
      <c r="K139" s="27">
        <f>RDG!J19</f>
        <v>21749626</v>
      </c>
    </row>
    <row r="140" spans="4:11" ht="12.75">
      <c r="D140" s="4" t="s">
        <v>794</v>
      </c>
      <c r="E140" s="4">
        <v>2</v>
      </c>
      <c r="F140" s="4">
        <f>RDG!G20</f>
        <v>139</v>
      </c>
      <c r="G140" s="4">
        <f>IF(RDG!H20=0,"",RDG!H20)</f>
      </c>
      <c r="H140" s="26">
        <f t="shared" si="6"/>
        <v>112387493.68</v>
      </c>
      <c r="I140" s="4">
        <f t="shared" si="7"/>
        <v>0</v>
      </c>
      <c r="J140" s="27">
        <f>RDG!I20</f>
        <v>26590514</v>
      </c>
      <c r="K140" s="27">
        <f>RDG!J20</f>
        <v>27131899</v>
      </c>
    </row>
    <row r="141" spans="4:11" ht="12.75">
      <c r="D141" s="4" t="s">
        <v>794</v>
      </c>
      <c r="E141" s="4">
        <v>2</v>
      </c>
      <c r="F141" s="4">
        <f>RDG!G21</f>
        <v>140</v>
      </c>
      <c r="G141" s="4">
        <f>IF(RDG!H21=0,"",RDG!H21)</f>
      </c>
      <c r="H141" s="26">
        <f t="shared" si="6"/>
        <v>72765833</v>
      </c>
      <c r="I141" s="4">
        <f t="shared" si="7"/>
        <v>0</v>
      </c>
      <c r="J141" s="27">
        <f>RDG!I21</f>
        <v>17235865</v>
      </c>
      <c r="K141" s="27">
        <f>RDG!J21</f>
        <v>17369865</v>
      </c>
    </row>
    <row r="142" spans="4:11" ht="12.75">
      <c r="D142" s="4" t="s">
        <v>794</v>
      </c>
      <c r="E142" s="4">
        <v>2</v>
      </c>
      <c r="F142" s="4">
        <f>RDG!G22</f>
        <v>141</v>
      </c>
      <c r="G142" s="4">
        <f>IF(RDG!H22=0,"",RDG!H22)</f>
      </c>
      <c r="H142" s="26">
        <f t="shared" si="6"/>
        <v>24054960.96</v>
      </c>
      <c r="I142" s="4">
        <f t="shared" si="7"/>
        <v>0</v>
      </c>
      <c r="J142" s="27">
        <f>RDG!I22</f>
        <v>5454532</v>
      </c>
      <c r="K142" s="27">
        <f>RDG!J22</f>
        <v>5802862</v>
      </c>
    </row>
    <row r="143" spans="4:11" ht="12.75">
      <c r="D143" s="4" t="s">
        <v>794</v>
      </c>
      <c r="E143" s="4">
        <v>2</v>
      </c>
      <c r="F143" s="4">
        <f>RDG!G23</f>
        <v>142</v>
      </c>
      <c r="G143" s="4">
        <f>IF(RDG!H23=0,"",RDG!H23)</f>
      </c>
      <c r="H143" s="26">
        <f t="shared" si="6"/>
        <v>16782214.62</v>
      </c>
      <c r="I143" s="4">
        <f t="shared" si="7"/>
        <v>0</v>
      </c>
      <c r="J143" s="27">
        <f>RDG!I23</f>
        <v>3900117</v>
      </c>
      <c r="K143" s="27">
        <f>RDG!J23</f>
        <v>3959172</v>
      </c>
    </row>
    <row r="144" spans="4:11" ht="12.75">
      <c r="D144" s="4" t="s">
        <v>794</v>
      </c>
      <c r="E144" s="4">
        <v>2</v>
      </c>
      <c r="F144" s="4">
        <f>RDG!G24</f>
        <v>143</v>
      </c>
      <c r="G144" s="4">
        <f>IF(RDG!H24=0,"",RDG!H24)</f>
      </c>
      <c r="H144" s="26">
        <f t="shared" si="6"/>
        <v>24548538.3</v>
      </c>
      <c r="I144" s="4">
        <f t="shared" si="7"/>
        <v>0</v>
      </c>
      <c r="J144" s="27">
        <f>RDG!I24</f>
        <v>5743928</v>
      </c>
      <c r="K144" s="27">
        <f>RDG!J24</f>
        <v>5711441</v>
      </c>
    </row>
    <row r="145" spans="4:11" ht="12.75">
      <c r="D145" s="4" t="s">
        <v>794</v>
      </c>
      <c r="E145" s="4">
        <v>2</v>
      </c>
      <c r="F145" s="4">
        <f>RDG!G25</f>
        <v>144</v>
      </c>
      <c r="G145" s="4">
        <f>IF(RDG!H25=0,"",RDG!H25)</f>
      </c>
      <c r="H145" s="26">
        <f t="shared" si="6"/>
        <v>24525184.32</v>
      </c>
      <c r="I145" s="4">
        <f t="shared" si="7"/>
        <v>0</v>
      </c>
      <c r="J145" s="27">
        <f>RDG!I25</f>
        <v>5256796</v>
      </c>
      <c r="K145" s="27">
        <f>RDG!J25</f>
        <v>5887291</v>
      </c>
    </row>
    <row r="146" spans="4:11" ht="12.75">
      <c r="D146" s="4" t="s">
        <v>794</v>
      </c>
      <c r="E146" s="4">
        <v>2</v>
      </c>
      <c r="F146" s="4">
        <f>RDG!G26</f>
        <v>145</v>
      </c>
      <c r="G146" s="4">
        <f>IF(RDG!H26=0,"",RDG!H26)</f>
      </c>
      <c r="H146" s="26">
        <f t="shared" si="6"/>
        <v>3446845.75</v>
      </c>
      <c r="I146" s="4">
        <f t="shared" si="7"/>
        <v>0</v>
      </c>
      <c r="J146" s="27">
        <f>RDG!I26</f>
        <v>983799</v>
      </c>
      <c r="K146" s="27">
        <f>RDG!J26</f>
        <v>696668</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3494388.45</v>
      </c>
      <c r="I148" s="4">
        <f t="shared" si="7"/>
        <v>0</v>
      </c>
      <c r="J148" s="27">
        <f>RDG!I28</f>
        <v>983799</v>
      </c>
      <c r="K148" s="27">
        <f>RDG!J28</f>
        <v>696668</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554179.25</v>
      </c>
      <c r="I156" s="4">
        <f t="shared" si="7"/>
        <v>0</v>
      </c>
      <c r="J156" s="27">
        <f>RDG!I36</f>
        <v>131575</v>
      </c>
      <c r="K156" s="27">
        <f>RDG!J36</f>
        <v>112980</v>
      </c>
    </row>
    <row r="157" spans="4:11" ht="12.75">
      <c r="D157" s="4" t="s">
        <v>794</v>
      </c>
      <c r="E157" s="4">
        <v>2</v>
      </c>
      <c r="F157" s="4">
        <f>RDG!G37</f>
        <v>156</v>
      </c>
      <c r="G157" s="4">
        <f>IF(RDG!H37=0,"",RDG!H37)</f>
      </c>
      <c r="H157" s="26">
        <f t="shared" si="6"/>
        <v>995183.2799999999</v>
      </c>
      <c r="I157" s="4">
        <f t="shared" si="7"/>
        <v>0</v>
      </c>
      <c r="J157" s="27">
        <f>RDG!I37</f>
        <v>226564</v>
      </c>
      <c r="K157" s="27">
        <f>RDG!J37</f>
        <v>205687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989338.2800000001</v>
      </c>
      <c r="I164" s="4">
        <f t="shared" si="7"/>
        <v>0</v>
      </c>
      <c r="J164" s="27">
        <f>RDG!I44</f>
        <v>197054</v>
      </c>
      <c r="K164" s="27">
        <f>RDG!J44</f>
        <v>204951</v>
      </c>
    </row>
    <row r="165" spans="4:11" ht="12.75">
      <c r="D165" s="4" t="s">
        <v>794</v>
      </c>
      <c r="E165" s="4">
        <v>2</v>
      </c>
      <c r="F165" s="4">
        <f>RDG!G45</f>
        <v>164</v>
      </c>
      <c r="G165" s="4">
        <f>IF(RDG!H45=0,"",RDG!H45)</f>
      </c>
      <c r="H165" s="26">
        <f t="shared" si="6"/>
        <v>50698.96</v>
      </c>
      <c r="I165" s="4">
        <f t="shared" si="7"/>
        <v>0</v>
      </c>
      <c r="J165" s="27">
        <f>RDG!I45</f>
        <v>29510</v>
      </c>
      <c r="K165" s="27">
        <f>RDG!J45</f>
        <v>702</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112.88000000000001</v>
      </c>
      <c r="I167" s="4">
        <f t="shared" si="7"/>
        <v>0</v>
      </c>
      <c r="J167" s="27">
        <f>RDG!I47</f>
        <v>0</v>
      </c>
      <c r="K167" s="27">
        <f>RDG!J47</f>
        <v>34</v>
      </c>
    </row>
    <row r="168" spans="4:11" ht="12.75">
      <c r="D168" s="4" t="s">
        <v>794</v>
      </c>
      <c r="E168" s="4">
        <v>2</v>
      </c>
      <c r="F168" s="4">
        <f>RDG!G48</f>
        <v>167</v>
      </c>
      <c r="G168" s="4">
        <f>IF(RDG!H48=0,"",RDG!H48)</f>
      </c>
      <c r="H168" s="26">
        <f t="shared" si="6"/>
        <v>2252457.59</v>
      </c>
      <c r="I168" s="4">
        <f t="shared" si="7"/>
        <v>0</v>
      </c>
      <c r="J168" s="27">
        <f>RDG!I48</f>
        <v>488395</v>
      </c>
      <c r="K168" s="27">
        <f>RDG!J48</f>
        <v>430191</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2226270.7</v>
      </c>
      <c r="I171" s="4">
        <f t="shared" si="7"/>
        <v>0</v>
      </c>
      <c r="J171" s="27">
        <f>RDG!I51</f>
        <v>482801</v>
      </c>
      <c r="K171" s="27">
        <f>RDG!J51</f>
        <v>413385</v>
      </c>
    </row>
    <row r="172" spans="4:11" ht="12.75">
      <c r="D172" s="4" t="s">
        <v>794</v>
      </c>
      <c r="E172" s="4">
        <v>2</v>
      </c>
      <c r="F172" s="4">
        <f>RDG!G52</f>
        <v>171</v>
      </c>
      <c r="G172" s="4">
        <f>IF(RDG!H52=0,"",RDG!H52)</f>
      </c>
      <c r="H172" s="26">
        <f t="shared" si="6"/>
        <v>67042.26000000001</v>
      </c>
      <c r="I172" s="4">
        <f t="shared" si="7"/>
        <v>0</v>
      </c>
      <c r="J172" s="27">
        <f>RDG!I52</f>
        <v>5594</v>
      </c>
      <c r="K172" s="27">
        <f>RDG!J52</f>
        <v>16806</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368252443.38</v>
      </c>
      <c r="I180" s="4">
        <f t="shared" si="7"/>
        <v>0</v>
      </c>
      <c r="J180" s="27">
        <f>RDG!I60</f>
        <v>60308290</v>
      </c>
      <c r="K180" s="27">
        <f>RDG!J60</f>
        <v>72709666</v>
      </c>
    </row>
    <row r="181" spans="4:11" ht="12.75">
      <c r="D181" s="4" t="s">
        <v>794</v>
      </c>
      <c r="E181" s="4">
        <v>2</v>
      </c>
      <c r="F181" s="4">
        <f>RDG!G61</f>
        <v>180</v>
      </c>
      <c r="G181" s="4">
        <f>IF(RDG!H61=0,"",RDG!H61)</f>
      </c>
      <c r="H181" s="26">
        <f t="shared" si="6"/>
        <v>378524502</v>
      </c>
      <c r="I181" s="4">
        <f t="shared" si="7"/>
        <v>0</v>
      </c>
      <c r="J181" s="27">
        <f>RDG!I61</f>
        <v>62869244</v>
      </c>
      <c r="K181" s="27">
        <f>RDG!J61</f>
        <v>73711073</v>
      </c>
    </row>
    <row r="182" spans="4:11" ht="12.75">
      <c r="D182" s="4" t="s">
        <v>794</v>
      </c>
      <c r="E182" s="4">
        <v>2</v>
      </c>
      <c r="F182" s="4">
        <f>RDG!G62</f>
        <v>181</v>
      </c>
      <c r="G182" s="4">
        <f>IF(RDG!H62=0,"",RDG!H62)</f>
      </c>
      <c r="H182" s="26">
        <f t="shared" si="6"/>
        <v>-8260420.08</v>
      </c>
      <c r="I182" s="4">
        <f t="shared" si="7"/>
        <v>0</v>
      </c>
      <c r="J182" s="27">
        <f>RDG!I62</f>
        <v>-2560954</v>
      </c>
      <c r="K182" s="27">
        <f>RDG!J62</f>
        <v>-1001407</v>
      </c>
    </row>
    <row r="183" spans="4:11" ht="12.75">
      <c r="D183" s="4" t="s">
        <v>794</v>
      </c>
      <c r="E183" s="4">
        <v>2</v>
      </c>
      <c r="F183" s="4">
        <f>RDG!G63</f>
        <v>182</v>
      </c>
      <c r="G183" s="4">
        <f>IF(RDG!H63=0,"",RDG!H63)</f>
      </c>
      <c r="H183" s="26">
        <f t="shared" si="6"/>
        <v>0</v>
      </c>
      <c r="I183" s="4">
        <f t="shared" si="7"/>
        <v>0</v>
      </c>
      <c r="J183" s="27">
        <f>RDG!I63</f>
        <v>0</v>
      </c>
      <c r="K183" s="27">
        <f>RDG!J63</f>
        <v>0</v>
      </c>
    </row>
    <row r="184" spans="4:11" ht="12.75">
      <c r="D184" s="4" t="s">
        <v>794</v>
      </c>
      <c r="E184" s="4">
        <v>2</v>
      </c>
      <c r="F184" s="4">
        <f>RDG!G64</f>
        <v>183</v>
      </c>
      <c r="G184" s="4">
        <f>IF(RDG!H64=0,"",RDG!H64)</f>
      </c>
      <c r="H184" s="26">
        <f t="shared" si="6"/>
        <v>8351695.44</v>
      </c>
      <c r="I184" s="4">
        <f t="shared" si="7"/>
        <v>0</v>
      </c>
      <c r="J184" s="27">
        <f>RDG!I64</f>
        <v>2560954</v>
      </c>
      <c r="K184" s="27">
        <f>RDG!J64</f>
        <v>1001407</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-8442970.8</v>
      </c>
      <c r="I186" s="4">
        <f t="shared" si="7"/>
        <v>0</v>
      </c>
      <c r="J186" s="27">
        <f>RDG!I66</f>
        <v>-2560954</v>
      </c>
      <c r="K186" s="27">
        <f>RDG!J66</f>
        <v>-1001407</v>
      </c>
    </row>
    <row r="187" spans="4:11" ht="12.75">
      <c r="D187" s="4" t="s">
        <v>794</v>
      </c>
      <c r="E187" s="4">
        <v>2</v>
      </c>
      <c r="F187" s="4">
        <f>RDG!G67</f>
        <v>186</v>
      </c>
      <c r="G187" s="4">
        <f>IF(RDG!H67=0,"",RDG!H67)</f>
      </c>
      <c r="H187" s="26">
        <f t="shared" si="6"/>
        <v>0</v>
      </c>
      <c r="I187" s="4">
        <f t="shared" si="7"/>
        <v>0</v>
      </c>
      <c r="J187" s="27">
        <f>RDG!I67</f>
        <v>0</v>
      </c>
      <c r="K187" s="27">
        <f>RDG!J67</f>
        <v>0</v>
      </c>
    </row>
    <row r="188" spans="4:11" ht="12.75">
      <c r="D188" s="4" t="s">
        <v>794</v>
      </c>
      <c r="E188" s="4">
        <v>2</v>
      </c>
      <c r="F188" s="4">
        <f>RDG!G68</f>
        <v>187</v>
      </c>
      <c r="G188" s="4">
        <f>IF(RDG!H68=0,"",RDG!H68)</f>
      </c>
      <c r="H188" s="26">
        <f t="shared" si="6"/>
        <v>8534246.16</v>
      </c>
      <c r="I188" s="4">
        <f t="shared" si="7"/>
        <v>0</v>
      </c>
      <c r="J188" s="27">
        <f>RDG!I68</f>
        <v>2560954</v>
      </c>
      <c r="K188" s="27">
        <f>RDG!J68</f>
        <v>1001407</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3186931.99</v>
      </c>
      <c r="I349" s="4">
        <f>ABS(ROUND(J349,0)-J349)+ABS(ROUND(K349,0)-K349)</f>
        <v>0</v>
      </c>
      <c r="J349" s="27">
        <f>NT_D!I9</f>
        <v>99440887</v>
      </c>
      <c r="K349" s="27">
        <f>NT_D!J9</f>
        <v>109626156</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1005.36</v>
      </c>
      <c r="I351" s="4">
        <f aca="true" t="shared" si="23" ref="I351:I392">ABS(ROUND(J351,0)-J351)+ABS(ROUND(K351,0)-K351)</f>
        <v>0</v>
      </c>
      <c r="J351" s="27">
        <f>NT_D!I11</f>
        <v>19312</v>
      </c>
      <c r="K351" s="27">
        <f>NT_D!J11</f>
        <v>7100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19123602.66</v>
      </c>
      <c r="I354" s="4">
        <f t="shared" si="23"/>
        <v>0</v>
      </c>
      <c r="J354" s="27">
        <f>NT_D!I14</f>
        <v>99460199</v>
      </c>
      <c r="K354" s="27">
        <f>NT_D!J14</f>
        <v>109633256</v>
      </c>
    </row>
    <row r="355" spans="4:11" ht="12.75">
      <c r="D355" s="4" t="s">
        <v>557</v>
      </c>
      <c r="E355" s="4">
        <v>5</v>
      </c>
      <c r="F355" s="28">
        <f>NT_D!G15</f>
        <v>7</v>
      </c>
      <c r="G355" s="28">
        <f>IF(NT_D!H15&lt;&gt;"",NT_D!H15,"")</f>
      </c>
      <c r="H355" s="26">
        <f t="shared" si="22"/>
        <v>-8015112.210000001</v>
      </c>
      <c r="I355" s="4">
        <f t="shared" si="23"/>
        <v>0</v>
      </c>
      <c r="J355" s="27">
        <f>NT_D!I15</f>
        <v>-32487509</v>
      </c>
      <c r="K355" s="27">
        <f>NT_D!J15</f>
        <v>-41007047</v>
      </c>
    </row>
    <row r="356" spans="4:11" ht="12.75">
      <c r="D356" s="4" t="s">
        <v>557</v>
      </c>
      <c r="E356" s="4">
        <v>5</v>
      </c>
      <c r="F356" s="28">
        <f>NT_D!G16</f>
        <v>8</v>
      </c>
      <c r="G356" s="28">
        <f>IF(NT_D!H16&lt;&gt;"",NT_D!H16,"")</f>
      </c>
      <c r="H356" s="26">
        <f t="shared" si="22"/>
        <v>-7627277.4399999995</v>
      </c>
      <c r="I356" s="4">
        <f t="shared" si="23"/>
        <v>0</v>
      </c>
      <c r="J356" s="27">
        <f>NT_D!I16</f>
        <v>-30407272</v>
      </c>
      <c r="K356" s="27">
        <f>NT_D!J16</f>
        <v>-32466848</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-66176.6</v>
      </c>
      <c r="I358" s="4">
        <f t="shared" si="23"/>
        <v>0</v>
      </c>
      <c r="J358" s="27">
        <f>NT_D!I18</f>
        <v>-259138</v>
      </c>
      <c r="K358" s="27">
        <f>NT_D!J18</f>
        <v>-201314</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-11231235.48</v>
      </c>
      <c r="I360" s="4">
        <f t="shared" si="23"/>
        <v>0</v>
      </c>
      <c r="J360" s="27">
        <f>NT_D!I20</f>
        <v>-30951639</v>
      </c>
      <c r="K360" s="27">
        <f>NT_D!J20</f>
        <v>-31320995</v>
      </c>
    </row>
    <row r="361" spans="4:11" ht="12.75">
      <c r="D361" s="4" t="s">
        <v>557</v>
      </c>
      <c r="E361" s="4">
        <v>5</v>
      </c>
      <c r="F361" s="28">
        <f>NT_D!G21</f>
        <v>13</v>
      </c>
      <c r="G361" s="28">
        <f>IF(NT_D!H21&lt;&gt;"",NT_D!H21,"")</f>
      </c>
      <c r="H361" s="26">
        <f t="shared" si="22"/>
        <v>-39532735.58</v>
      </c>
      <c r="I361" s="4">
        <f t="shared" si="23"/>
        <v>0</v>
      </c>
      <c r="J361" s="27">
        <f>NT_D!I21</f>
        <v>-94105558</v>
      </c>
      <c r="K361" s="27">
        <f>NT_D!J21</f>
        <v>-104996204</v>
      </c>
    </row>
    <row r="362" spans="4:11" ht="12.75">
      <c r="D362" s="4" t="s">
        <v>557</v>
      </c>
      <c r="E362" s="4">
        <v>5</v>
      </c>
      <c r="F362" s="28">
        <f>NT_D!G22</f>
        <v>14</v>
      </c>
      <c r="G362" s="28">
        <f>IF(NT_D!H22&lt;&gt;"",NT_D!H22,"")</f>
      </c>
      <c r="H362" s="26">
        <f t="shared" si="22"/>
        <v>2048024.2999999998</v>
      </c>
      <c r="I362" s="4">
        <f t="shared" si="23"/>
        <v>0</v>
      </c>
      <c r="J362" s="27">
        <f>NT_D!I22</f>
        <v>5354641</v>
      </c>
      <c r="K362" s="27">
        <f>NT_D!J22</f>
        <v>4637052</v>
      </c>
    </row>
    <row r="363" spans="4:11" ht="12.75">
      <c r="D363" s="4" t="s">
        <v>557</v>
      </c>
      <c r="E363" s="4">
        <v>5</v>
      </c>
      <c r="F363" s="28">
        <f>NT_D!G24</f>
        <v>15</v>
      </c>
      <c r="G363" s="28">
        <f>IF(NT_D!H24&lt;&gt;"",NT_D!H24,"")</f>
      </c>
      <c r="H363" s="26">
        <f t="shared" si="22"/>
        <v>162678</v>
      </c>
      <c r="I363" s="4">
        <f t="shared" si="23"/>
        <v>0</v>
      </c>
      <c r="J363" s="27">
        <f>NT_D!I24</f>
        <v>4300</v>
      </c>
      <c r="K363" s="27">
        <f>NT_D!J24</f>
        <v>540110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69805.40000000001</v>
      </c>
      <c r="I365" s="4">
        <f t="shared" si="23"/>
        <v>0</v>
      </c>
      <c r="J365" s="27">
        <f>NT_D!I26</f>
        <v>718</v>
      </c>
      <c r="K365" s="27">
        <f>NT_D!J26</f>
        <v>204951</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9168.45</v>
      </c>
      <c r="I367" s="4">
        <f t="shared" si="23"/>
        <v>0</v>
      </c>
      <c r="J367" s="27">
        <f>NT_D!I28</f>
        <v>27603</v>
      </c>
      <c r="K367" s="27">
        <f>NT_D!J28</f>
        <v>10326</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324112.94999999995</v>
      </c>
      <c r="I369" s="4">
        <f t="shared" si="23"/>
        <v>0</v>
      </c>
      <c r="J369" s="27">
        <f>NT_D!I30</f>
        <v>32621</v>
      </c>
      <c r="K369" s="27">
        <f>NT_D!J30</f>
        <v>755387</v>
      </c>
    </row>
    <row r="370" spans="4:11" ht="12.75">
      <c r="D370" s="4" t="s">
        <v>557</v>
      </c>
      <c r="E370" s="4">
        <v>5</v>
      </c>
      <c r="F370" s="28">
        <f>NT_D!G31</f>
        <v>22</v>
      </c>
      <c r="G370" s="28">
        <f>IF(NT_D!H31&lt;&gt;"",NT_D!H31,"")</f>
      </c>
      <c r="H370" s="26">
        <f t="shared" si="22"/>
        <v>-85918.8</v>
      </c>
      <c r="I370" s="4">
        <f t="shared" si="23"/>
        <v>0</v>
      </c>
      <c r="J370" s="27">
        <f>NT_D!I31</f>
        <v>-119148</v>
      </c>
      <c r="K370" s="27">
        <f>NT_D!J31</f>
        <v>-135696</v>
      </c>
    </row>
    <row r="371" spans="4:11" ht="12.75">
      <c r="D371" s="4" t="s">
        <v>557</v>
      </c>
      <c r="E371" s="4">
        <v>5</v>
      </c>
      <c r="F371" s="28">
        <f>NT_D!G32</f>
        <v>23</v>
      </c>
      <c r="G371" s="28">
        <f>IF(NT_D!H32&lt;&gt;"",NT_D!H32,"")</f>
      </c>
      <c r="H371" s="26">
        <f t="shared" si="22"/>
        <v>-3450</v>
      </c>
      <c r="I371" s="4">
        <f t="shared" si="23"/>
        <v>0</v>
      </c>
      <c r="J371" s="27">
        <f>NT_D!I32</f>
        <v>-15000</v>
      </c>
      <c r="K371" s="27">
        <f>NT_D!J32</f>
        <v>0</v>
      </c>
    </row>
    <row r="372" spans="4:11" ht="12.75">
      <c r="D372" s="4" t="s">
        <v>557</v>
      </c>
      <c r="E372" s="4">
        <v>5</v>
      </c>
      <c r="F372" s="28">
        <f>NT_D!G33</f>
        <v>24</v>
      </c>
      <c r="G372" s="28">
        <f>IF(NT_D!H33&lt;&gt;"",NT_D!H33,"")</f>
      </c>
      <c r="H372" s="26">
        <f t="shared" si="22"/>
        <v>-17280</v>
      </c>
      <c r="I372" s="4">
        <f t="shared" si="23"/>
        <v>0</v>
      </c>
      <c r="J372" s="27">
        <f>NT_D!I33</f>
        <v>0</v>
      </c>
      <c r="K372" s="27">
        <f>NT_D!J33</f>
        <v>-36000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-128935.79999999999</v>
      </c>
      <c r="I375" s="4">
        <f t="shared" si="23"/>
        <v>0</v>
      </c>
      <c r="J375" s="27">
        <f>NT_D!I36</f>
        <v>-134148</v>
      </c>
      <c r="K375" s="27">
        <f>NT_D!J36</f>
        <v>-171696</v>
      </c>
    </row>
    <row r="376" spans="4:11" ht="12.75">
      <c r="D376" s="4" t="s">
        <v>557</v>
      </c>
      <c r="E376" s="4">
        <v>5</v>
      </c>
      <c r="F376" s="28">
        <f>NT_D!G37</f>
        <v>28</v>
      </c>
      <c r="G376" s="28">
        <f>IF(NT_D!H37&lt;&gt;"",NT_D!H37,"")</f>
      </c>
      <c r="H376" s="26">
        <f t="shared" si="22"/>
        <v>298439.39999999997</v>
      </c>
      <c r="I376" s="4">
        <f t="shared" si="23"/>
        <v>0</v>
      </c>
      <c r="J376" s="27">
        <f>NT_D!I37</f>
        <v>-101527</v>
      </c>
      <c r="K376" s="27">
        <f>NT_D!J37</f>
        <v>583691</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179441.63999999998</v>
      </c>
      <c r="I379" s="4">
        <f t="shared" si="23"/>
        <v>0</v>
      </c>
      <c r="J379" s="27">
        <f>NT_D!I41</f>
        <v>578844</v>
      </c>
      <c r="K379" s="27">
        <f>NT_D!J41</f>
        <v>0</v>
      </c>
    </row>
    <row r="380" spans="4:11" ht="12.75">
      <c r="D380" s="4" t="s">
        <v>557</v>
      </c>
      <c r="E380" s="4">
        <v>5</v>
      </c>
      <c r="F380" s="28">
        <f>NT_D!G42</f>
        <v>32</v>
      </c>
      <c r="G380" s="28">
        <f>IF(NT_D!H42&lt;&gt;"",NT_D!H42,"")</f>
      </c>
      <c r="H380" s="26">
        <f t="shared" si="22"/>
        <v>24576.64</v>
      </c>
      <c r="I380" s="4">
        <f t="shared" si="23"/>
        <v>0</v>
      </c>
      <c r="J380" s="27">
        <f>NT_D!I42</f>
        <v>10680</v>
      </c>
      <c r="K380" s="27">
        <f>NT_D!J42</f>
        <v>33061</v>
      </c>
    </row>
    <row r="381" spans="4:11" ht="12.75">
      <c r="D381" s="4" t="s">
        <v>557</v>
      </c>
      <c r="E381" s="4">
        <v>5</v>
      </c>
      <c r="F381" s="28">
        <f>NT_D!G43</f>
        <v>33</v>
      </c>
      <c r="G381" s="28">
        <f>IF(NT_D!H43&lt;&gt;"",NT_D!H43,"")</f>
      </c>
      <c r="H381" s="26">
        <f t="shared" si="22"/>
        <v>216363.18</v>
      </c>
      <c r="I381" s="4">
        <f t="shared" si="23"/>
        <v>0</v>
      </c>
      <c r="J381" s="27">
        <f>NT_D!I43</f>
        <v>589524</v>
      </c>
      <c r="K381" s="27">
        <f>NT_D!J43</f>
        <v>33061</v>
      </c>
    </row>
    <row r="382" spans="4:11" ht="12.75">
      <c r="D382" s="4" t="s">
        <v>557</v>
      </c>
      <c r="E382" s="4">
        <v>5</v>
      </c>
      <c r="F382" s="28">
        <f>NT_D!G44</f>
        <v>34</v>
      </c>
      <c r="G382" s="28">
        <f>IF(NT_D!H44&lt;&gt;"",NT_D!H44,"")</f>
      </c>
      <c r="H382" s="26">
        <f t="shared" si="22"/>
        <v>-5403020.24</v>
      </c>
      <c r="I382" s="4">
        <f t="shared" si="23"/>
        <v>0</v>
      </c>
      <c r="J382" s="27">
        <f>NT_D!I44</f>
        <v>-5469270</v>
      </c>
      <c r="K382" s="27">
        <f>NT_D!J44</f>
        <v>-5210983</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-91240.65999999999</v>
      </c>
      <c r="I386" s="4">
        <f t="shared" si="23"/>
        <v>0</v>
      </c>
      <c r="J386" s="27">
        <f>NT_D!I48</f>
        <v>-231839</v>
      </c>
      <c r="K386" s="27">
        <f>NT_D!J48</f>
        <v>-4134</v>
      </c>
    </row>
    <row r="387" spans="4:11" ht="12.75">
      <c r="D387" s="4" t="s">
        <v>557</v>
      </c>
      <c r="E387" s="4">
        <v>5</v>
      </c>
      <c r="F387" s="28">
        <f>NT_D!G49</f>
        <v>39</v>
      </c>
      <c r="G387" s="28">
        <f>IF(NT_D!H49&lt;&gt;"",NT_D!H49,"")</f>
      </c>
      <c r="H387" s="26">
        <f t="shared" si="22"/>
        <v>-6291223.77</v>
      </c>
      <c r="I387" s="4">
        <f t="shared" si="23"/>
        <v>0</v>
      </c>
      <c r="J387" s="27">
        <f>NT_D!I49</f>
        <v>-5701109</v>
      </c>
      <c r="K387" s="27">
        <f>NT_D!J49</f>
        <v>-5215117</v>
      </c>
    </row>
    <row r="388" spans="4:11" ht="12.75">
      <c r="D388" s="4" t="s">
        <v>557</v>
      </c>
      <c r="E388" s="4">
        <v>5</v>
      </c>
      <c r="F388" s="28">
        <f>NT_D!G50</f>
        <v>40</v>
      </c>
      <c r="G388" s="28">
        <f>IF(NT_D!H50&lt;&gt;"",NT_D!H50,"")</f>
      </c>
      <c r="H388" s="26">
        <f t="shared" si="22"/>
        <v>-6190278.8</v>
      </c>
      <c r="I388" s="4">
        <f t="shared" si="23"/>
        <v>0</v>
      </c>
      <c r="J388" s="27">
        <f>NT_D!I50</f>
        <v>-5111585</v>
      </c>
      <c r="K388" s="27">
        <f>NT_D!J50</f>
        <v>-5182056</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91939.26000000001</v>
      </c>
      <c r="I390" s="4">
        <f t="shared" si="23"/>
        <v>0</v>
      </c>
      <c r="J390" s="27">
        <f>NT_D!I52</f>
        <v>141529</v>
      </c>
      <c r="K390" s="27">
        <f>NT_D!J52</f>
        <v>38687</v>
      </c>
    </row>
    <row r="391" spans="4:11" ht="12.75">
      <c r="D391" s="4" t="s">
        <v>557</v>
      </c>
      <c r="E391" s="4">
        <v>5</v>
      </c>
      <c r="F391" s="28">
        <f>NT_D!G53</f>
        <v>43</v>
      </c>
      <c r="G391" s="28">
        <f>IF(NT_D!H53&lt;&gt;"",NT_D!H53,"")</f>
      </c>
      <c r="H391" s="26">
        <f t="shared" si="22"/>
        <v>3139955.03</v>
      </c>
      <c r="I391" s="4">
        <f t="shared" si="23"/>
        <v>0</v>
      </c>
      <c r="J391" s="27">
        <f>NT_D!I53</f>
        <v>2339721</v>
      </c>
      <c r="K391" s="27">
        <f>NT_D!J53</f>
        <v>2481250</v>
      </c>
    </row>
    <row r="392" spans="4:11" ht="12.75">
      <c r="D392" s="4" t="s">
        <v>557</v>
      </c>
      <c r="E392" s="4">
        <v>5</v>
      </c>
      <c r="F392" s="28">
        <f>NT_D!G54</f>
        <v>44</v>
      </c>
      <c r="G392" s="28">
        <f>IF(NT_D!H54&lt;&gt;"",NT_D!H54,"")</f>
      </c>
      <c r="H392" s="26">
        <f t="shared" si="22"/>
        <v>3309294.56</v>
      </c>
      <c r="I392" s="4">
        <f t="shared" si="23"/>
        <v>0</v>
      </c>
      <c r="J392" s="27">
        <f>NT_D!I54</f>
        <v>2481250</v>
      </c>
      <c r="K392" s="27">
        <f>NT_D!J54</f>
        <v>2519937</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16675619.91</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60421400</v>
      </c>
      <c r="K393" s="27">
        <f>PK!J10</f>
        <v>0</v>
      </c>
      <c r="L393" s="27">
        <f>PK!K10</f>
        <v>0</v>
      </c>
      <c r="M393" s="27">
        <f>PK!L10</f>
        <v>0</v>
      </c>
      <c r="N393" s="27">
        <f>PK!M10</f>
        <v>0</v>
      </c>
      <c r="O393" s="27">
        <f>PK!N10</f>
        <v>0</v>
      </c>
      <c r="P393" s="27">
        <f>PK!O10</f>
        <v>721591</v>
      </c>
      <c r="Q393" s="27">
        <f>PK!P10</f>
        <v>0</v>
      </c>
      <c r="R393" s="27">
        <f>PK!Q10</f>
        <v>0</v>
      </c>
      <c r="S393" s="27">
        <f>PK!R10</f>
        <v>0</v>
      </c>
      <c r="T393" s="27">
        <f>PK!S10</f>
        <v>0</v>
      </c>
      <c r="U393" s="27">
        <f>PK!T10</f>
        <v>0</v>
      </c>
      <c r="V393" s="27">
        <f>PK!U10</f>
        <v>0</v>
      </c>
      <c r="W393" s="27">
        <f>PK!V10</f>
        <v>-9932755</v>
      </c>
      <c r="X393" s="27">
        <f>PK!W10</f>
        <v>0</v>
      </c>
      <c r="Y393" s="27">
        <f>PK!X10</f>
        <v>51210236</v>
      </c>
      <c r="Z393" s="27">
        <f>PK!Y10</f>
        <v>0</v>
      </c>
      <c r="AA393" s="27">
        <f>PK!Z10</f>
        <v>51210236</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18488261.91</v>
      </c>
      <c r="I396" s="27">
        <f t="shared" si="25"/>
        <v>0</v>
      </c>
      <c r="J396" s="27">
        <f>PK!I13</f>
        <v>60421400</v>
      </c>
      <c r="K396" s="27">
        <f>PK!J13</f>
        <v>0</v>
      </c>
      <c r="L396" s="27">
        <f>PK!K13</f>
        <v>0</v>
      </c>
      <c r="M396" s="27">
        <f>PK!L13</f>
        <v>0</v>
      </c>
      <c r="N396" s="27">
        <f>PK!M13</f>
        <v>0</v>
      </c>
      <c r="O396" s="27">
        <f>PK!N13</f>
        <v>0</v>
      </c>
      <c r="P396" s="27">
        <f>PK!O13</f>
        <v>721591</v>
      </c>
      <c r="Q396" s="27">
        <f>PK!P13</f>
        <v>0</v>
      </c>
      <c r="R396" s="27">
        <f>PK!Q13</f>
        <v>0</v>
      </c>
      <c r="S396" s="27">
        <f>PK!R13</f>
        <v>0</v>
      </c>
      <c r="T396" s="27">
        <f>PK!S13</f>
        <v>0</v>
      </c>
      <c r="U396" s="27">
        <f>PK!T13</f>
        <v>0</v>
      </c>
      <c r="V396" s="27">
        <f>PK!U13</f>
        <v>0</v>
      </c>
      <c r="W396" s="27">
        <f>PK!V13</f>
        <v>-9932755</v>
      </c>
      <c r="X396" s="27">
        <f>PK!W13</f>
        <v>0</v>
      </c>
      <c r="Y396" s="27">
        <f>PK!X13</f>
        <v>51210236</v>
      </c>
      <c r="Z396" s="27">
        <f>PK!Y13</f>
        <v>0</v>
      </c>
      <c r="AA396" s="27">
        <f>PK!Z13</f>
        <v>51210236</v>
      </c>
    </row>
    <row r="397" spans="4:27" ht="12.75">
      <c r="D397" s="4" t="s">
        <v>795</v>
      </c>
      <c r="E397" s="4">
        <v>6</v>
      </c>
      <c r="F397" s="4">
        <f>PK!G14</f>
        <v>5</v>
      </c>
      <c r="G397" s="4">
        <f>IF(PK!H14&lt;&gt;"",PK!H14,"")</f>
      </c>
      <c r="H397" s="26">
        <f t="shared" si="24"/>
        <v>-1254867.46</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-2560954</v>
      </c>
      <c r="Y397" s="27">
        <f>PK!X14</f>
        <v>-2560954</v>
      </c>
      <c r="Z397" s="27">
        <f>PK!Y14</f>
        <v>0</v>
      </c>
      <c r="AA397" s="27">
        <f>PK!Z14</f>
        <v>-2560954</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29317674.450000003</v>
      </c>
      <c r="I416" s="27">
        <f t="shared" si="25"/>
        <v>0</v>
      </c>
      <c r="J416" s="27">
        <f>PK!I33</f>
        <v>60421400</v>
      </c>
      <c r="K416" s="27">
        <f>PK!J33</f>
        <v>0</v>
      </c>
      <c r="L416" s="27">
        <f>PK!K33</f>
        <v>0</v>
      </c>
      <c r="M416" s="27">
        <f>PK!L33</f>
        <v>0</v>
      </c>
      <c r="N416" s="27">
        <f>PK!M33</f>
        <v>0</v>
      </c>
      <c r="O416" s="27">
        <f>PK!N33</f>
        <v>0</v>
      </c>
      <c r="P416" s="27">
        <f>PK!O33</f>
        <v>721591</v>
      </c>
      <c r="Q416" s="27">
        <f>PK!P33</f>
        <v>0</v>
      </c>
      <c r="R416" s="27">
        <f>PK!Q33</f>
        <v>0</v>
      </c>
      <c r="S416" s="27">
        <f>PK!R33</f>
        <v>0</v>
      </c>
      <c r="T416" s="27">
        <f>PK!S33</f>
        <v>0</v>
      </c>
      <c r="U416" s="27">
        <f>PK!T33</f>
        <v>0</v>
      </c>
      <c r="V416" s="27">
        <f>PK!U33</f>
        <v>0</v>
      </c>
      <c r="W416" s="27">
        <f>PK!V33</f>
        <v>-9932755</v>
      </c>
      <c r="X416" s="27">
        <f>PK!W33</f>
        <v>-2560954</v>
      </c>
      <c r="Y416" s="27">
        <f>PK!X33</f>
        <v>48649282</v>
      </c>
      <c r="Z416" s="27">
        <f>PK!Y33</f>
        <v>0</v>
      </c>
      <c r="AA416" s="27">
        <f>PK!Z33</f>
        <v>48649282</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31760139.509999998</v>
      </c>
      <c r="I420" s="27">
        <f t="shared" si="25"/>
        <v>0</v>
      </c>
      <c r="J420" s="27">
        <f>PK!I39</f>
        <v>60421400</v>
      </c>
      <c r="K420" s="27">
        <f>PK!J39</f>
        <v>0</v>
      </c>
      <c r="L420" s="27">
        <f>PK!K39</f>
        <v>0</v>
      </c>
      <c r="M420" s="27">
        <f>PK!L39</f>
        <v>0</v>
      </c>
      <c r="N420" s="27">
        <f>PK!M39</f>
        <v>0</v>
      </c>
      <c r="O420" s="27">
        <f>PK!N39</f>
        <v>0</v>
      </c>
      <c r="P420" s="27">
        <f>PK!O39</f>
        <v>721591</v>
      </c>
      <c r="Q420" s="27">
        <f>PK!P39</f>
        <v>0</v>
      </c>
      <c r="R420" s="27">
        <f>PK!Q39</f>
        <v>0</v>
      </c>
      <c r="S420" s="27">
        <f>PK!R39</f>
        <v>0</v>
      </c>
      <c r="T420" s="27">
        <f>PK!S39</f>
        <v>0</v>
      </c>
      <c r="U420" s="27">
        <f>PK!T39</f>
        <v>0</v>
      </c>
      <c r="V420" s="27">
        <f>PK!U39</f>
        <v>0</v>
      </c>
      <c r="W420" s="27">
        <f>PK!V39</f>
        <v>-12493710</v>
      </c>
      <c r="X420" s="27">
        <f>PK!W39</f>
        <v>0</v>
      </c>
      <c r="Y420" s="27">
        <f>PK!X39</f>
        <v>48649281</v>
      </c>
      <c r="Z420" s="27">
        <f>PK!Y39</f>
        <v>0</v>
      </c>
      <c r="AA420" s="27">
        <f>PK!Z39</f>
        <v>48649281</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33572781.510000005</v>
      </c>
      <c r="I423" s="27">
        <f t="shared" si="25"/>
        <v>0</v>
      </c>
      <c r="J423" s="27">
        <f>PK!I42</f>
        <v>60421400</v>
      </c>
      <c r="K423" s="27">
        <f>PK!J42</f>
        <v>0</v>
      </c>
      <c r="L423" s="27">
        <f>PK!K42</f>
        <v>0</v>
      </c>
      <c r="M423" s="27">
        <f>PK!L42</f>
        <v>0</v>
      </c>
      <c r="N423" s="27">
        <f>PK!M42</f>
        <v>0</v>
      </c>
      <c r="O423" s="27">
        <f>PK!N42</f>
        <v>0</v>
      </c>
      <c r="P423" s="27">
        <f>PK!O42</f>
        <v>721591</v>
      </c>
      <c r="Q423" s="27">
        <f>PK!P42</f>
        <v>0</v>
      </c>
      <c r="R423" s="27">
        <f>PK!Q42</f>
        <v>0</v>
      </c>
      <c r="S423" s="27">
        <f>PK!R42</f>
        <v>0</v>
      </c>
      <c r="T423" s="27">
        <f>PK!S42</f>
        <v>0</v>
      </c>
      <c r="U423" s="27">
        <f>PK!T42</f>
        <v>0</v>
      </c>
      <c r="V423" s="27">
        <f>PK!U42</f>
        <v>0</v>
      </c>
      <c r="W423" s="27">
        <f>PK!V42</f>
        <v>-12493710</v>
      </c>
      <c r="X423" s="27">
        <f>PK!W42</f>
        <v>0</v>
      </c>
      <c r="Y423" s="27">
        <f>PK!X42</f>
        <v>48649281</v>
      </c>
      <c r="Z423" s="27">
        <f>PK!Y42</f>
        <v>0</v>
      </c>
      <c r="AA423" s="27">
        <f>PK!Z42</f>
        <v>48649281</v>
      </c>
    </row>
    <row r="424" spans="4:27" ht="12.75">
      <c r="D424" s="4" t="s">
        <v>795</v>
      </c>
      <c r="E424" s="4">
        <v>6</v>
      </c>
      <c r="F424" s="4">
        <f>PK!G43</f>
        <v>32</v>
      </c>
      <c r="G424" s="4">
        <f>IF(PK!H43&lt;&gt;"",PK!H43,"")</f>
      </c>
      <c r="H424" s="26">
        <f t="shared" si="24"/>
        <v>-490689.43</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-1001407</v>
      </c>
      <c r="Y424" s="27">
        <f>PK!X43</f>
        <v>-1001407</v>
      </c>
      <c r="Z424" s="27">
        <f>PK!Y43</f>
        <v>0</v>
      </c>
      <c r="AA424" s="27">
        <f>PK!Z43</f>
        <v>-1001407</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45166372.080000006</v>
      </c>
      <c r="I443" s="27">
        <f t="shared" si="25"/>
        <v>0</v>
      </c>
      <c r="J443" s="27">
        <f>PK!I62</f>
        <v>60421400</v>
      </c>
      <c r="K443" s="27">
        <f>PK!J62</f>
        <v>0</v>
      </c>
      <c r="L443" s="27">
        <f>PK!K62</f>
        <v>0</v>
      </c>
      <c r="M443" s="27">
        <f>PK!L62</f>
        <v>0</v>
      </c>
      <c r="N443" s="27">
        <f>PK!M62</f>
        <v>0</v>
      </c>
      <c r="O443" s="27">
        <f>PK!N62</f>
        <v>0</v>
      </c>
      <c r="P443" s="27">
        <f>PK!O62</f>
        <v>721591</v>
      </c>
      <c r="Q443" s="27">
        <f>PK!P62</f>
        <v>0</v>
      </c>
      <c r="R443" s="27">
        <f>PK!Q62</f>
        <v>0</v>
      </c>
      <c r="S443" s="27">
        <f>PK!R62</f>
        <v>0</v>
      </c>
      <c r="T443" s="27">
        <f>PK!S62</f>
        <v>0</v>
      </c>
      <c r="U443" s="27">
        <f>PK!T62</f>
        <v>0</v>
      </c>
      <c r="V443" s="27">
        <f>PK!U62</f>
        <v>0</v>
      </c>
      <c r="W443" s="27">
        <f>PK!V62</f>
        <v>-12493710</v>
      </c>
      <c r="X443" s="27">
        <f>PK!W62</f>
        <v>-1001407</v>
      </c>
      <c r="Y443" s="27">
        <f>PK!X62</f>
        <v>47647874</v>
      </c>
      <c r="Z443" s="27">
        <f>PK!Y62</f>
        <v>0</v>
      </c>
      <c r="AA443" s="27">
        <f>PK!Z62</f>
        <v>47647874</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47"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KOMUNALAC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3</v>
      </c>
      <c r="T3" s="206" t="s">
        <v>614</v>
      </c>
      <c r="U3" s="224" t="str">
        <f>RefStr!L21</f>
        <v>51963172472</v>
      </c>
      <c r="V3" s="206" t="s">
        <v>2736</v>
      </c>
      <c r="W3" s="224">
        <f>RefStr!C31</f>
        <v>10430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17055681355</v>
      </c>
      <c r="V4" s="206" t="s">
        <v>2737</v>
      </c>
      <c r="W4" s="224" t="str">
        <f>RefStr!F31</f>
        <v>SAMOBOR</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01316419</v>
      </c>
      <c r="V5" s="206" t="s">
        <v>2738</v>
      </c>
      <c r="W5" s="224" t="str">
        <f>RefStr!C33</f>
        <v>Ul. 151. samoborske brigade HV 2</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1</v>
      </c>
      <c r="P6" s="207">
        <f>NT_D!Q2</f>
        <v>1</v>
      </c>
      <c r="Q6" s="224">
        <f>NT_D!Q3</f>
        <v>1</v>
      </c>
      <c r="R6" s="206" t="s">
        <v>2886</v>
      </c>
      <c r="S6" s="224" t="str">
        <f>RefStr!C21</f>
        <v>NE</v>
      </c>
      <c r="T6" s="206" t="s">
        <v>1561</v>
      </c>
      <c r="U6" s="224" t="str">
        <f>RefStr!M27</f>
        <v>080173330</v>
      </c>
      <c r="V6" s="206" t="s">
        <v>2968</v>
      </c>
      <c r="W6" s="224" t="str">
        <f>RefStr!L35</f>
        <v>01/5554-300</v>
      </c>
      <c r="X6" s="206" t="s">
        <v>2926</v>
      </c>
      <c r="Y6" s="224" t="str">
        <f>RefStr!C68</f>
        <v>Antonija Vrbančić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5</v>
      </c>
      <c r="V7" s="206" t="s">
        <v>2884</v>
      </c>
      <c r="W7" s="224" t="str">
        <f>TRIM(UPPER(RefStr!C35))</f>
        <v>KOMUNALAC@KOMUNALAC-SAMOBOR.HR</v>
      </c>
      <c r="X7" s="206" t="s">
        <v>2927</v>
      </c>
      <c r="Y7" s="224" t="str">
        <f>RefStr!C70</f>
        <v>01/5554-311</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3811</v>
      </c>
      <c r="X8" s="206" t="s">
        <v>2928</v>
      </c>
      <c r="Y8" s="224" t="str">
        <f>TRIM(UPPER(RefStr!C72))</f>
        <v>ANTONIJA-VRBANCIC@KOMUNALAC-SAMOBOR.HR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251</v>
      </c>
      <c r="Q9" s="223">
        <f>RefStr!F58</f>
        <v>238</v>
      </c>
      <c r="R9" s="206" t="s">
        <v>914</v>
      </c>
      <c r="S9" s="224">
        <f>IF(RefStr!F4&lt;&gt;"",RefStr!F4,0)</f>
        <v>44926</v>
      </c>
      <c r="T9" s="206" t="s">
        <v>891</v>
      </c>
      <c r="U9" s="224">
        <f>RefStr!C39</f>
        <v>380</v>
      </c>
      <c r="V9" s="206" t="s">
        <v>2951</v>
      </c>
      <c r="W9" s="224" t="str">
        <f>RefStr!D42</f>
        <v>Skupljanje neopasnog otpada</v>
      </c>
      <c r="X9" s="230" t="s">
        <v>1782</v>
      </c>
      <c r="Y9" s="231" t="str">
        <f>RefStr!I66</f>
        <v>DA</v>
      </c>
      <c r="Z9" s="228" t="s">
        <v>1781</v>
      </c>
      <c r="AA9" s="229" t="str">
        <f>RefStr!I64</f>
        <v>DA</v>
      </c>
    </row>
    <row r="10" spans="1:27" ht="13.5" customHeight="1">
      <c r="A10" s="498"/>
      <c r="B10" s="498"/>
      <c r="C10" s="498"/>
      <c r="D10" s="498"/>
      <c r="E10" s="498"/>
      <c r="F10" s="498"/>
      <c r="G10" s="498"/>
      <c r="H10" s="498"/>
      <c r="I10" s="498"/>
      <c r="J10" s="498"/>
      <c r="L10" s="190"/>
      <c r="M10" s="190"/>
      <c r="O10" s="222" t="s">
        <v>1998</v>
      </c>
      <c r="P10" s="208">
        <f>RefStr!C56</f>
        <v>253</v>
      </c>
      <c r="Q10" s="225">
        <f>RefStr!F56</f>
        <v>240</v>
      </c>
      <c r="R10" s="208" t="s">
        <v>917</v>
      </c>
      <c r="S10" s="225">
        <f>RefStr!C23</f>
        <v>1</v>
      </c>
      <c r="T10" s="208" t="s">
        <v>2973</v>
      </c>
      <c r="U10" s="225" t="str">
        <f>RefStr!D39</f>
        <v>Samobor</v>
      </c>
      <c r="V10" s="232"/>
      <c r="W10" s="233"/>
      <c r="X10" s="234" t="s">
        <v>2279</v>
      </c>
      <c r="Y10" s="235">
        <f>RefStr!F12</f>
        <v>2022</v>
      </c>
      <c r="Z10" s="208" t="s">
        <v>1771</v>
      </c>
      <c r="AA10" s="225" t="str">
        <f>RefStr!A75</f>
        <v>Renato Raguž, dipl.ing.stroj.</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1</v>
      </c>
      <c r="W50" s="196">
        <f>IF(P10&gt;50,1,0)</f>
        <v>1</v>
      </c>
      <c r="X50" s="196" t="s">
        <v>2257</v>
      </c>
      <c r="Y50" s="196">
        <f>IF(Bilanca!I73&gt;150000000,1,0)</f>
        <v>0</v>
      </c>
      <c r="Z50" s="196">
        <f>IF(RDG!I60&gt;300000000,1,0)</f>
        <v>0</v>
      </c>
      <c r="AA50" s="196">
        <f>IF(P10&gt;250,1,0)</f>
        <v>1</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C:\Users\avrbancic\Desktop\GFI-2022.g\[GFI -31.12.2022.-završno.xls]Dodatni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22" activePane="bottomLeft" state="frozen"/>
      <selection pane="topLeft" activeCell="A1" sqref="A1"/>
      <selection pane="bottomLeft" activeCell="I54" sqref="I5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131641.9</v>
      </c>
    </row>
    <row r="13" spans="4:17" ht="9.75" customHeight="1">
      <c r="D13" s="152"/>
      <c r="E13" s="158"/>
      <c r="H13" s="23"/>
      <c r="I13" s="159"/>
      <c r="J13" s="159"/>
      <c r="K13" s="152"/>
      <c r="L13" s="152"/>
      <c r="M13" s="152"/>
      <c r="N13" s="152"/>
      <c r="P13" s="50" t="s">
        <v>1561</v>
      </c>
      <c r="Q13" s="51">
        <f>INT(VALUE(M27))/50</f>
        <v>1603466.6</v>
      </c>
    </row>
    <row r="14" spans="1:17" ht="15">
      <c r="A14" s="289" t="s">
        <v>1312</v>
      </c>
      <c r="B14" s="289"/>
      <c r="C14" s="289"/>
      <c r="D14" s="160"/>
      <c r="E14" s="161"/>
      <c r="F14" s="287"/>
      <c r="G14" s="288"/>
      <c r="H14" s="288"/>
      <c r="I14" s="152"/>
      <c r="J14" s="310" t="s">
        <v>1978</v>
      </c>
      <c r="K14" s="311"/>
      <c r="L14" s="311"/>
      <c r="M14" s="311"/>
      <c r="N14" s="311"/>
      <c r="P14" s="50" t="s">
        <v>1316</v>
      </c>
      <c r="Q14" s="51">
        <f>INT(VALUE(C27))/100</f>
        <v>170556813.55</v>
      </c>
    </row>
    <row r="15" spans="1:17" ht="19.5" customHeight="1">
      <c r="A15" s="307">
        <f>Skriveni!B59</f>
        <v>4850011085.74</v>
      </c>
      <c r="B15" s="308"/>
      <c r="C15" s="309"/>
      <c r="D15" s="56"/>
      <c r="E15" s="56"/>
      <c r="F15" s="56"/>
      <c r="G15" s="56"/>
      <c r="H15" s="56"/>
      <c r="I15" s="56"/>
      <c r="J15" s="56"/>
      <c r="K15" s="56"/>
      <c r="L15" s="56"/>
      <c r="M15" s="56"/>
      <c r="N15" s="56"/>
      <c r="P15" s="50" t="s">
        <v>887</v>
      </c>
      <c r="Q15" s="51">
        <f>LEN(Skriveni!B9)</f>
        <v>16</v>
      </c>
    </row>
    <row r="16" spans="4:17" ht="12.75" customHeight="1">
      <c r="D16" s="56"/>
      <c r="E16" s="56"/>
      <c r="F16" s="56"/>
      <c r="G16" s="56"/>
      <c r="H16" s="56"/>
      <c r="I16" s="56"/>
      <c r="P16" s="50" t="s">
        <v>888</v>
      </c>
      <c r="Q16" s="51">
        <f>INT(VALUE(C31))/100</f>
        <v>104.3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7</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2982</v>
      </c>
      <c r="P19" s="50" t="s">
        <v>890</v>
      </c>
      <c r="Q19" s="51">
        <f>LEN(Skriveni!B12)</f>
        <v>32</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2996</v>
      </c>
      <c r="M21" s="283"/>
      <c r="N21" s="284"/>
      <c r="P21" s="50" t="s">
        <v>891</v>
      </c>
      <c r="Q21" s="51">
        <f>INT(VALUE(C39))</f>
        <v>380</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3811</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10430</v>
      </c>
      <c r="D31" s="343" t="s">
        <v>929</v>
      </c>
      <c r="E31" s="344"/>
      <c r="F31" s="345" t="s">
        <v>2987</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2991</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380</v>
      </c>
      <c r="D39" s="358" t="str">
        <f>IF(C39="","Upišite šifru grada/općine",IF(ISNA(LOOKUP(C39,A177:A732,A177:A732)),"Šifra grada/općine ne postoji",IF(LOOKUP(C39,A177:A732,A177:A732)&lt;&gt;C39,"Šifra grada/općine ne postoji",LOOKUP(C39,A177:A732,B177:B732))))</f>
        <v>Samobor</v>
      </c>
      <c r="E39" s="359"/>
      <c r="F39" s="359"/>
      <c r="G39" s="359"/>
      <c r="H39" s="279" t="s">
        <v>2109</v>
      </c>
      <c r="I39" s="280"/>
      <c r="J39" s="54">
        <f>IF(C39&gt;0,LOOKUP(C39,A177:A732,C177:C732),"")</f>
        <v>1</v>
      </c>
      <c r="K39" s="350" t="str">
        <f>IF(J39="","Upišite šifru grada/općine",LOOKUP(J39,A153:A173,B153:B173))</f>
        <v>ZAGREBAČKA</v>
      </c>
      <c r="L39" s="350"/>
      <c r="M39" s="350"/>
      <c r="N39" s="350"/>
      <c r="P39" s="50" t="s">
        <v>896</v>
      </c>
      <c r="Q39" s="51">
        <f>C56+2*F56+3*C58+4*F58</f>
        <v>2438</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2350</v>
      </c>
      <c r="D42" s="356" t="str">
        <f>IF(C42="","Upišite šifru razreda glavne djelatnosti",IF(ISNA(LOOKUP(C42,A736:A1351,A736:A1351)),"Šifra NKD-a ne postoji",IF(LOOKUP(C42,A736:A1351,A736:A1351)&lt;&gt;C42,"Šifra NKD-a ne postoji",LOOKUP(C42,A736:A1351,B736:B1351))))</f>
        <v>Skupljanje neopasnog otpada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29</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519631724.72</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3</v>
      </c>
      <c r="D50" s="379" t="str">
        <f>IF(C50="","Upišite oznaku veličine",IF(ISNA(LOOKUP(C50,A124:A127,A124:A127)),"Nepostojeća oznaka veličine",IF(LOOKUP(C50,A124:A127,A124:A127)&lt;&gt;C50,"Nepostojeća oznaka veličine",LOOKUP(C50,A124:A127,B124:B127))))</f>
        <v>Srednji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253</v>
      </c>
      <c r="D56" s="272" t="s">
        <v>2653</v>
      </c>
      <c r="E56" s="362"/>
      <c r="F56" s="40">
        <v>240</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251</v>
      </c>
      <c r="D58" s="354" t="s">
        <v>2653</v>
      </c>
      <c r="E58" s="354"/>
      <c r="F58" s="40">
        <v>238</v>
      </c>
      <c r="G58" s="354" t="s">
        <v>2654</v>
      </c>
      <c r="H58" s="354"/>
      <c r="I58" s="5" t="str">
        <f>IF(OR(NT_I!Q1&lt;&gt;0,NT_D!Q1&lt;&gt;0),"DA","NE")</f>
        <v>DA</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DA</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1587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2992</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2993</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2994</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2995</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31" activePane="bottomLeft" state="frozen"/>
      <selection pane="topLeft" activeCell="A1" sqref="A1"/>
      <selection pane="bottomLeft" activeCell="J133" sqref="J13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17055681355; KOMUNALAC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89569464</v>
      </c>
      <c r="J10" s="66">
        <f>J11+J18+J28+J39+J44</f>
        <v>84192936</v>
      </c>
    </row>
    <row r="11" spans="1:10" ht="13.5" customHeight="1">
      <c r="A11" s="390" t="s">
        <v>904</v>
      </c>
      <c r="B11" s="390"/>
      <c r="C11" s="390"/>
      <c r="D11" s="390"/>
      <c r="E11" s="390"/>
      <c r="F11" s="390"/>
      <c r="G11" s="15">
        <v>3</v>
      </c>
      <c r="H11" s="16"/>
      <c r="I11" s="66">
        <f>SUM(I12:I17)</f>
        <v>138286</v>
      </c>
      <c r="J11" s="66">
        <f>SUM(J12:J17)</f>
        <v>111537</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138286</v>
      </c>
      <c r="J13" s="67">
        <v>111537</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87726523</v>
      </c>
      <c r="J18" s="66">
        <f>SUM(J19:J27)</f>
        <v>83199617</v>
      </c>
    </row>
    <row r="19" spans="1:10" ht="13.5" customHeight="1">
      <c r="A19" s="387" t="s">
        <v>733</v>
      </c>
      <c r="B19" s="387"/>
      <c r="C19" s="387"/>
      <c r="D19" s="387"/>
      <c r="E19" s="387"/>
      <c r="F19" s="387"/>
      <c r="G19" s="15">
        <v>11</v>
      </c>
      <c r="H19" s="16"/>
      <c r="I19" s="67">
        <v>8447207</v>
      </c>
      <c r="J19" s="67">
        <v>7763861</v>
      </c>
    </row>
    <row r="20" spans="1:10" ht="13.5" customHeight="1">
      <c r="A20" s="387" t="s">
        <v>796</v>
      </c>
      <c r="B20" s="387"/>
      <c r="C20" s="387"/>
      <c r="D20" s="387"/>
      <c r="E20" s="387"/>
      <c r="F20" s="387"/>
      <c r="G20" s="15">
        <v>12</v>
      </c>
      <c r="H20" s="16"/>
      <c r="I20" s="67">
        <v>55734703</v>
      </c>
      <c r="J20" s="67">
        <v>54093771</v>
      </c>
    </row>
    <row r="21" spans="1:10" ht="13.5" customHeight="1">
      <c r="A21" s="387" t="s">
        <v>734</v>
      </c>
      <c r="B21" s="387"/>
      <c r="C21" s="387"/>
      <c r="D21" s="387"/>
      <c r="E21" s="387"/>
      <c r="F21" s="387"/>
      <c r="G21" s="15">
        <v>13</v>
      </c>
      <c r="H21" s="16"/>
      <c r="I21" s="67">
        <v>4167268</v>
      </c>
      <c r="J21" s="67">
        <v>3626490</v>
      </c>
    </row>
    <row r="22" spans="1:10" ht="13.5" customHeight="1">
      <c r="A22" s="387" t="s">
        <v>405</v>
      </c>
      <c r="B22" s="387"/>
      <c r="C22" s="387"/>
      <c r="D22" s="387"/>
      <c r="E22" s="387"/>
      <c r="F22" s="387"/>
      <c r="G22" s="15">
        <v>14</v>
      </c>
      <c r="H22" s="16"/>
      <c r="I22" s="67">
        <v>10746926</v>
      </c>
      <c r="J22" s="67">
        <v>8482774</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8405196</v>
      </c>
      <c r="J25" s="67">
        <v>9013446</v>
      </c>
    </row>
    <row r="26" spans="1:10" ht="13.5" customHeight="1">
      <c r="A26" s="387" t="s">
        <v>2693</v>
      </c>
      <c r="B26" s="387"/>
      <c r="C26" s="387"/>
      <c r="D26" s="387"/>
      <c r="E26" s="387"/>
      <c r="F26" s="387"/>
      <c r="G26" s="15">
        <v>18</v>
      </c>
      <c r="H26" s="16"/>
      <c r="I26" s="67">
        <v>225223</v>
      </c>
      <c r="J26" s="67">
        <v>219275</v>
      </c>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1660675</v>
      </c>
      <c r="J28" s="66">
        <f>SUM(J29:J38)</f>
        <v>842859</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v>1660675</v>
      </c>
      <c r="J36" s="67">
        <v>842859</v>
      </c>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43980</v>
      </c>
      <c r="J39" s="66">
        <f>SUM(J40:J43)</f>
        <v>38923</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v>43980</v>
      </c>
      <c r="J43" s="67">
        <v>38923</v>
      </c>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29122298</v>
      </c>
      <c r="J45" s="66">
        <f>J46+J54+J61+J71</f>
        <v>31710694</v>
      </c>
    </row>
    <row r="46" spans="1:10" ht="13.5" customHeight="1">
      <c r="A46" s="390" t="s">
        <v>1264</v>
      </c>
      <c r="B46" s="390"/>
      <c r="C46" s="390"/>
      <c r="D46" s="390"/>
      <c r="E46" s="390"/>
      <c r="F46" s="390"/>
      <c r="G46" s="15">
        <v>38</v>
      </c>
      <c r="H46" s="16"/>
      <c r="I46" s="66">
        <f>SUM(I47:I53)</f>
        <v>1201480</v>
      </c>
      <c r="J46" s="66">
        <f>SUM(J47:J53)</f>
        <v>1414011</v>
      </c>
    </row>
    <row r="47" spans="1:10" ht="13.5" customHeight="1">
      <c r="A47" s="387" t="s">
        <v>1892</v>
      </c>
      <c r="B47" s="387"/>
      <c r="C47" s="387"/>
      <c r="D47" s="387"/>
      <c r="E47" s="387"/>
      <c r="F47" s="387"/>
      <c r="G47" s="15">
        <v>39</v>
      </c>
      <c r="H47" s="16"/>
      <c r="I47" s="67">
        <v>606636</v>
      </c>
      <c r="J47" s="67">
        <v>694004</v>
      </c>
    </row>
    <row r="48" spans="1:10" ht="13.5" customHeight="1">
      <c r="A48" s="387" t="s">
        <v>1893</v>
      </c>
      <c r="B48" s="387"/>
      <c r="C48" s="387"/>
      <c r="D48" s="387"/>
      <c r="E48" s="387"/>
      <c r="F48" s="387"/>
      <c r="G48" s="15">
        <v>40</v>
      </c>
      <c r="H48" s="16"/>
      <c r="I48" s="67">
        <v>161331</v>
      </c>
      <c r="J48" s="67">
        <v>136188</v>
      </c>
    </row>
    <row r="49" spans="1:10" ht="13.5" customHeight="1">
      <c r="A49" s="387" t="s">
        <v>1894</v>
      </c>
      <c r="B49" s="387"/>
      <c r="C49" s="387"/>
      <c r="D49" s="387"/>
      <c r="E49" s="387"/>
      <c r="F49" s="387"/>
      <c r="G49" s="15">
        <v>41</v>
      </c>
      <c r="H49" s="16"/>
      <c r="I49" s="67">
        <v>348998</v>
      </c>
      <c r="J49" s="67">
        <v>476291</v>
      </c>
    </row>
    <row r="50" spans="1:10" ht="13.5" customHeight="1">
      <c r="A50" s="387" t="s">
        <v>1895</v>
      </c>
      <c r="B50" s="387"/>
      <c r="C50" s="387"/>
      <c r="D50" s="387"/>
      <c r="E50" s="387"/>
      <c r="F50" s="387"/>
      <c r="G50" s="15">
        <v>42</v>
      </c>
      <c r="H50" s="16"/>
      <c r="I50" s="67">
        <v>84515</v>
      </c>
      <c r="J50" s="67">
        <v>107528</v>
      </c>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25362936</v>
      </c>
      <c r="J54" s="66">
        <f>SUM(J55:J60)</f>
        <v>27679133</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4961435</v>
      </c>
      <c r="J57" s="67">
        <v>8169975</v>
      </c>
    </row>
    <row r="58" spans="1:10" ht="13.5" customHeight="1">
      <c r="A58" s="387" t="s">
        <v>2009</v>
      </c>
      <c r="B58" s="387"/>
      <c r="C58" s="387"/>
      <c r="D58" s="387"/>
      <c r="E58" s="387"/>
      <c r="F58" s="387"/>
      <c r="G58" s="15">
        <v>50</v>
      </c>
      <c r="H58" s="16"/>
      <c r="I58" s="67">
        <v>1454</v>
      </c>
      <c r="J58" s="67">
        <v>1513</v>
      </c>
    </row>
    <row r="59" spans="1:10" ht="13.5" customHeight="1">
      <c r="A59" s="387" t="s">
        <v>2010</v>
      </c>
      <c r="B59" s="387"/>
      <c r="C59" s="387"/>
      <c r="D59" s="387"/>
      <c r="E59" s="387"/>
      <c r="F59" s="387"/>
      <c r="G59" s="15">
        <v>51</v>
      </c>
      <c r="H59" s="16"/>
      <c r="I59" s="67">
        <v>110753</v>
      </c>
      <c r="J59" s="67">
        <v>67553</v>
      </c>
    </row>
    <row r="60" spans="1:10" ht="13.5" customHeight="1">
      <c r="A60" s="387" t="s">
        <v>1255</v>
      </c>
      <c r="B60" s="387"/>
      <c r="C60" s="387"/>
      <c r="D60" s="387"/>
      <c r="E60" s="387"/>
      <c r="F60" s="387"/>
      <c r="G60" s="15">
        <v>52</v>
      </c>
      <c r="H60" s="16"/>
      <c r="I60" s="67">
        <v>20289294</v>
      </c>
      <c r="J60" s="67">
        <v>19440092</v>
      </c>
    </row>
    <row r="61" spans="1:10" ht="13.5" customHeight="1">
      <c r="A61" s="390" t="s">
        <v>1266</v>
      </c>
      <c r="B61" s="390"/>
      <c r="C61" s="390"/>
      <c r="D61" s="390"/>
      <c r="E61" s="390"/>
      <c r="F61" s="390"/>
      <c r="G61" s="15">
        <v>53</v>
      </c>
      <c r="H61" s="16"/>
      <c r="I61" s="66">
        <f>SUM(I62:I70)</f>
        <v>76632</v>
      </c>
      <c r="J61" s="66">
        <f>SUM(J62:J70)</f>
        <v>97613</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v>76632</v>
      </c>
      <c r="J69" s="67">
        <v>97613</v>
      </c>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2481250</v>
      </c>
      <c r="J71" s="67">
        <v>2519937</v>
      </c>
    </row>
    <row r="72" spans="1:10" ht="24.75" customHeight="1">
      <c r="A72" s="385" t="s">
        <v>591</v>
      </c>
      <c r="B72" s="385"/>
      <c r="C72" s="385"/>
      <c r="D72" s="385"/>
      <c r="E72" s="385"/>
      <c r="F72" s="385"/>
      <c r="G72" s="15">
        <v>64</v>
      </c>
      <c r="H72" s="16"/>
      <c r="I72" s="67">
        <v>3189</v>
      </c>
      <c r="J72" s="67">
        <v>1340</v>
      </c>
    </row>
    <row r="73" spans="1:10" ht="13.5" customHeight="1">
      <c r="A73" s="385" t="s">
        <v>1267</v>
      </c>
      <c r="B73" s="385"/>
      <c r="C73" s="385"/>
      <c r="D73" s="385"/>
      <c r="E73" s="385"/>
      <c r="F73" s="385"/>
      <c r="G73" s="15">
        <v>65</v>
      </c>
      <c r="H73" s="16"/>
      <c r="I73" s="66">
        <f>I9+I10+I45+I72</f>
        <v>118694951</v>
      </c>
      <c r="J73" s="66">
        <f>J9+J10+J45+J72</f>
        <v>115904970</v>
      </c>
    </row>
    <row r="74" spans="1:10" ht="13.5" customHeight="1">
      <c r="A74" s="386" t="s">
        <v>1004</v>
      </c>
      <c r="B74" s="386"/>
      <c r="C74" s="386"/>
      <c r="D74" s="386"/>
      <c r="E74" s="386"/>
      <c r="F74" s="386"/>
      <c r="G74" s="17">
        <v>66</v>
      </c>
      <c r="H74" s="18"/>
      <c r="I74" s="68">
        <v>81495405</v>
      </c>
      <c r="J74" s="68">
        <v>83300255</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48649282</v>
      </c>
      <c r="J76" s="66">
        <f>J77+J78+J79+J85+J86+J92+J95+J98</f>
        <v>47647874</v>
      </c>
      <c r="L76" s="2" t="s">
        <v>1209</v>
      </c>
    </row>
    <row r="77" spans="1:10" ht="13.5" customHeight="1">
      <c r="A77" s="390" t="s">
        <v>1857</v>
      </c>
      <c r="B77" s="390"/>
      <c r="C77" s="390"/>
      <c r="D77" s="390"/>
      <c r="E77" s="390"/>
      <c r="F77" s="390"/>
      <c r="G77" s="15">
        <v>68</v>
      </c>
      <c r="H77" s="16"/>
      <c r="I77" s="67">
        <v>60421400</v>
      </c>
      <c r="J77" s="67">
        <v>60421400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721591</v>
      </c>
      <c r="J79" s="66">
        <f>J80+J81-J82+J83+J84</f>
        <v>721591</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v>721591</v>
      </c>
      <c r="J84" s="67">
        <v>721591</v>
      </c>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-9932755</v>
      </c>
      <c r="J92" s="66">
        <f>J93-J94</f>
        <v>-12493710</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v>9932755</v>
      </c>
      <c r="J94" s="67">
        <v>12493710</v>
      </c>
    </row>
    <row r="95" spans="1:12" ht="13.5" customHeight="1">
      <c r="A95" s="390" t="s">
        <v>2487</v>
      </c>
      <c r="B95" s="390"/>
      <c r="C95" s="390"/>
      <c r="D95" s="390"/>
      <c r="E95" s="390"/>
      <c r="F95" s="390"/>
      <c r="G95" s="15">
        <v>86</v>
      </c>
      <c r="H95" s="16"/>
      <c r="I95" s="66">
        <f>I96-I97</f>
        <v>-2560954</v>
      </c>
      <c r="J95" s="66">
        <f>J96-J97</f>
        <v>-1001407</v>
      </c>
      <c r="L95" s="2" t="s">
        <v>1209</v>
      </c>
    </row>
    <row r="96" spans="1:10" ht="13.5" customHeight="1">
      <c r="A96" s="387" t="s">
        <v>1257</v>
      </c>
      <c r="B96" s="387"/>
      <c r="C96" s="387"/>
      <c r="D96" s="387"/>
      <c r="E96" s="387"/>
      <c r="F96" s="387"/>
      <c r="G96" s="15">
        <v>87</v>
      </c>
      <c r="H96" s="16"/>
      <c r="I96" s="67"/>
      <c r="J96" s="67"/>
    </row>
    <row r="97" spans="1:10" ht="13.5" customHeight="1">
      <c r="A97" s="387" t="s">
        <v>2832</v>
      </c>
      <c r="B97" s="387"/>
      <c r="C97" s="387"/>
      <c r="D97" s="387"/>
      <c r="E97" s="387"/>
      <c r="F97" s="387"/>
      <c r="G97" s="15">
        <v>88</v>
      </c>
      <c r="H97" s="16"/>
      <c r="I97" s="67">
        <v>2560954</v>
      </c>
      <c r="J97" s="67">
        <v>1001407</v>
      </c>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516397</v>
      </c>
      <c r="J99" s="66">
        <f>SUM(J100:J105)</f>
        <v>436947</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v>516397</v>
      </c>
      <c r="J102" s="67">
        <v>436947</v>
      </c>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13480826</v>
      </c>
      <c r="J106" s="66">
        <f>SUM(J107:J117)</f>
        <v>8934232</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13424777</v>
      </c>
      <c r="J112" s="67">
        <v>8918583</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v>56049</v>
      </c>
      <c r="J116" s="67">
        <v>15649</v>
      </c>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36600819</v>
      </c>
      <c r="J118" s="66">
        <f>SUM(J119:J132)</f>
        <v>37796690</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v>114425</v>
      </c>
      <c r="J123" s="67">
        <v>109622</v>
      </c>
    </row>
    <row r="124" spans="1:10" ht="13.5" customHeight="1">
      <c r="A124" s="387" t="s">
        <v>2021</v>
      </c>
      <c r="B124" s="387"/>
      <c r="C124" s="387"/>
      <c r="D124" s="387"/>
      <c r="E124" s="387"/>
      <c r="F124" s="387"/>
      <c r="G124" s="15">
        <v>115</v>
      </c>
      <c r="H124" s="16"/>
      <c r="I124" s="67">
        <v>8926872</v>
      </c>
      <c r="J124" s="67">
        <v>7537507</v>
      </c>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4808226</v>
      </c>
      <c r="J126" s="67">
        <v>7342347</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2095014</v>
      </c>
      <c r="J128" s="67">
        <v>2413220</v>
      </c>
    </row>
    <row r="129" spans="1:10" ht="13.5" customHeight="1">
      <c r="A129" s="387" t="s">
        <v>2023</v>
      </c>
      <c r="B129" s="387"/>
      <c r="C129" s="387"/>
      <c r="D129" s="387"/>
      <c r="E129" s="387"/>
      <c r="F129" s="387"/>
      <c r="G129" s="15">
        <v>120</v>
      </c>
      <c r="H129" s="16"/>
      <c r="I129" s="67">
        <v>457395</v>
      </c>
      <c r="J129" s="67">
        <v>837484</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20198887</v>
      </c>
      <c r="J132" s="67">
        <v>19556510</v>
      </c>
    </row>
    <row r="133" spans="1:10" ht="24.75" customHeight="1">
      <c r="A133" s="385" t="s">
        <v>593</v>
      </c>
      <c r="B133" s="385"/>
      <c r="C133" s="385"/>
      <c r="D133" s="385"/>
      <c r="E133" s="385"/>
      <c r="F133" s="385"/>
      <c r="G133" s="15">
        <v>124</v>
      </c>
      <c r="H133" s="16"/>
      <c r="I133" s="67">
        <v>19447627</v>
      </c>
      <c r="J133" s="67">
        <v>21089227</v>
      </c>
    </row>
    <row r="134" spans="1:10" ht="13.5" customHeight="1">
      <c r="A134" s="385" t="s">
        <v>360</v>
      </c>
      <c r="B134" s="385"/>
      <c r="C134" s="385"/>
      <c r="D134" s="385"/>
      <c r="E134" s="385"/>
      <c r="F134" s="385"/>
      <c r="G134" s="15">
        <v>125</v>
      </c>
      <c r="H134" s="16"/>
      <c r="I134" s="66">
        <f>I76+I99+I106+I118+I133</f>
        <v>118694951</v>
      </c>
      <c r="J134" s="66">
        <f>J76+J99+J106+J118+J133</f>
        <v>115904970</v>
      </c>
    </row>
    <row r="135" spans="1:10" ht="13.5" customHeight="1">
      <c r="A135" s="386" t="s">
        <v>1512</v>
      </c>
      <c r="B135" s="386"/>
      <c r="C135" s="386"/>
      <c r="D135" s="386"/>
      <c r="E135" s="386"/>
      <c r="F135" s="386"/>
      <c r="G135" s="17">
        <v>126</v>
      </c>
      <c r="H135" s="18"/>
      <c r="I135" s="68">
        <v>81495405</v>
      </c>
      <c r="J135" s="68">
        <v>83300255</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07" activePane="bottomLeft" state="frozen"/>
      <selection pane="topLeft" activeCell="A1" sqref="A1"/>
      <selection pane="bottomLeft" activeCell="I26" sqref="I2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17055681355; KOMUNALAC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60081726</v>
      </c>
      <c r="J8" s="80">
        <f>SUM(J9:J13)</f>
        <v>72503979</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57852311</v>
      </c>
      <c r="J10" s="67">
        <v>69695820</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2229415</v>
      </c>
      <c r="J13" s="67">
        <v>2808159</v>
      </c>
    </row>
    <row r="14" spans="1:10" s="2" customFormat="1" ht="14.25" customHeight="1">
      <c r="A14" s="385" t="s">
        <v>2492</v>
      </c>
      <c r="B14" s="385"/>
      <c r="C14" s="385"/>
      <c r="D14" s="385"/>
      <c r="E14" s="385"/>
      <c r="F14" s="385"/>
      <c r="G14" s="15">
        <v>133</v>
      </c>
      <c r="H14" s="16"/>
      <c r="I14" s="66">
        <f>I15+I16+I20+I24+I25+I26+I29+I36</f>
        <v>62380849</v>
      </c>
      <c r="J14" s="66">
        <f>J15+J16+J20+J24+J25+J26+J29+J36</f>
        <v>73280882</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23674237</v>
      </c>
      <c r="J16" s="66">
        <f>SUM(J17:J19)</f>
        <v>33740603</v>
      </c>
    </row>
    <row r="17" spans="1:10" s="2" customFormat="1" ht="14.25" customHeight="1">
      <c r="A17" s="413" t="s">
        <v>1273</v>
      </c>
      <c r="B17" s="413"/>
      <c r="C17" s="413"/>
      <c r="D17" s="413"/>
      <c r="E17" s="413"/>
      <c r="F17" s="413"/>
      <c r="G17" s="15">
        <v>136</v>
      </c>
      <c r="H17" s="16"/>
      <c r="I17" s="67">
        <v>9791705</v>
      </c>
      <c r="J17" s="67">
        <v>11300277</v>
      </c>
    </row>
    <row r="18" spans="1:10" s="2" customFormat="1" ht="14.25" customHeight="1">
      <c r="A18" s="413" t="s">
        <v>1274</v>
      </c>
      <c r="B18" s="413"/>
      <c r="C18" s="413"/>
      <c r="D18" s="413"/>
      <c r="E18" s="413"/>
      <c r="F18" s="413"/>
      <c r="G18" s="15">
        <v>137</v>
      </c>
      <c r="H18" s="16"/>
      <c r="I18" s="67">
        <v>841821</v>
      </c>
      <c r="J18" s="67">
        <v>690700</v>
      </c>
    </row>
    <row r="19" spans="1:10" s="2" customFormat="1" ht="14.25" customHeight="1">
      <c r="A19" s="413" t="s">
        <v>2959</v>
      </c>
      <c r="B19" s="413"/>
      <c r="C19" s="413"/>
      <c r="D19" s="413"/>
      <c r="E19" s="413"/>
      <c r="F19" s="413"/>
      <c r="G19" s="15">
        <v>138</v>
      </c>
      <c r="H19" s="16"/>
      <c r="I19" s="67">
        <v>13040711</v>
      </c>
      <c r="J19" s="67">
        <v>21749626</v>
      </c>
    </row>
    <row r="20" spans="1:10" s="2" customFormat="1" ht="14.25" customHeight="1">
      <c r="A20" s="387" t="s">
        <v>2494</v>
      </c>
      <c r="B20" s="387"/>
      <c r="C20" s="387"/>
      <c r="D20" s="387"/>
      <c r="E20" s="387"/>
      <c r="F20" s="387"/>
      <c r="G20" s="15">
        <v>139</v>
      </c>
      <c r="H20" s="16"/>
      <c r="I20" s="66">
        <f>SUM(I21:I23)</f>
        <v>26590514</v>
      </c>
      <c r="J20" s="66">
        <f>SUM(J21:J23)</f>
        <v>27131899</v>
      </c>
    </row>
    <row r="21" spans="1:10" s="2" customFormat="1" ht="14.25" customHeight="1">
      <c r="A21" s="413" t="s">
        <v>960</v>
      </c>
      <c r="B21" s="413"/>
      <c r="C21" s="413"/>
      <c r="D21" s="413"/>
      <c r="E21" s="413"/>
      <c r="F21" s="413"/>
      <c r="G21" s="15">
        <v>140</v>
      </c>
      <c r="H21" s="16"/>
      <c r="I21" s="67">
        <v>17235865</v>
      </c>
      <c r="J21" s="67">
        <v>17369865</v>
      </c>
    </row>
    <row r="22" spans="1:10" s="2" customFormat="1" ht="14.25" customHeight="1">
      <c r="A22" s="413" t="s">
        <v>1883</v>
      </c>
      <c r="B22" s="413"/>
      <c r="C22" s="413"/>
      <c r="D22" s="413"/>
      <c r="E22" s="413"/>
      <c r="F22" s="413"/>
      <c r="G22" s="15">
        <v>141</v>
      </c>
      <c r="H22" s="16"/>
      <c r="I22" s="67">
        <v>5454532</v>
      </c>
      <c r="J22" s="67">
        <v>5802862</v>
      </c>
    </row>
    <row r="23" spans="1:10" s="2" customFormat="1" ht="14.25" customHeight="1">
      <c r="A23" s="413" t="s">
        <v>1884</v>
      </c>
      <c r="B23" s="413"/>
      <c r="C23" s="413"/>
      <c r="D23" s="413"/>
      <c r="E23" s="413"/>
      <c r="F23" s="413"/>
      <c r="G23" s="15">
        <v>142</v>
      </c>
      <c r="H23" s="16"/>
      <c r="I23" s="67">
        <v>3900117</v>
      </c>
      <c r="J23" s="67">
        <v>3959172</v>
      </c>
    </row>
    <row r="24" spans="1:10" s="2" customFormat="1" ht="14.25" customHeight="1">
      <c r="A24" s="387" t="s">
        <v>1006</v>
      </c>
      <c r="B24" s="387"/>
      <c r="C24" s="387"/>
      <c r="D24" s="387"/>
      <c r="E24" s="387"/>
      <c r="F24" s="387"/>
      <c r="G24" s="15">
        <v>143</v>
      </c>
      <c r="H24" s="16"/>
      <c r="I24" s="67">
        <v>5743928</v>
      </c>
      <c r="J24" s="67">
        <v>5711441</v>
      </c>
    </row>
    <row r="25" spans="1:10" s="2" customFormat="1" ht="14.25" customHeight="1">
      <c r="A25" s="387" t="s">
        <v>1007</v>
      </c>
      <c r="B25" s="387"/>
      <c r="C25" s="387"/>
      <c r="D25" s="387"/>
      <c r="E25" s="387"/>
      <c r="F25" s="387"/>
      <c r="G25" s="15">
        <v>144</v>
      </c>
      <c r="H25" s="16"/>
      <c r="I25" s="67">
        <v>5256796</v>
      </c>
      <c r="J25" s="67">
        <v>5887291</v>
      </c>
    </row>
    <row r="26" spans="1:12" s="2" customFormat="1" ht="14.25" customHeight="1">
      <c r="A26" s="387" t="s">
        <v>2495</v>
      </c>
      <c r="B26" s="387"/>
      <c r="C26" s="387"/>
      <c r="D26" s="387"/>
      <c r="E26" s="387"/>
      <c r="F26" s="387"/>
      <c r="G26" s="15">
        <v>145</v>
      </c>
      <c r="H26" s="16"/>
      <c r="I26" s="66">
        <f>SUM(I27:I28)</f>
        <v>983799</v>
      </c>
      <c r="J26" s="66">
        <f>SUM(J27:J28)</f>
        <v>696668</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983799</v>
      </c>
      <c r="J28" s="67">
        <v>696668</v>
      </c>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131575</v>
      </c>
      <c r="J36" s="67">
        <v>112980</v>
      </c>
    </row>
    <row r="37" spans="1:10" s="2" customFormat="1" ht="14.25" customHeight="1">
      <c r="A37" s="385" t="s">
        <v>2497</v>
      </c>
      <c r="B37" s="385"/>
      <c r="C37" s="385"/>
      <c r="D37" s="385"/>
      <c r="E37" s="385"/>
      <c r="F37" s="385"/>
      <c r="G37" s="15">
        <v>156</v>
      </c>
      <c r="H37" s="16"/>
      <c r="I37" s="66">
        <f>SUM(I38:I47)</f>
        <v>226564</v>
      </c>
      <c r="J37" s="66">
        <f>SUM(J38:J47)</f>
        <v>205687</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197054</v>
      </c>
      <c r="J44" s="67">
        <v>204951</v>
      </c>
    </row>
    <row r="45" spans="1:10" s="2" customFormat="1" ht="14.25" customHeight="1">
      <c r="A45" s="387" t="s">
        <v>2961</v>
      </c>
      <c r="B45" s="387"/>
      <c r="C45" s="387"/>
      <c r="D45" s="387"/>
      <c r="E45" s="387"/>
      <c r="F45" s="387"/>
      <c r="G45" s="15">
        <v>164</v>
      </c>
      <c r="H45" s="16"/>
      <c r="I45" s="67">
        <v>29510</v>
      </c>
      <c r="J45" s="67">
        <v>702</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v>34</v>
      </c>
    </row>
    <row r="48" spans="1:10" s="2" customFormat="1" ht="14.25" customHeight="1">
      <c r="A48" s="385" t="s">
        <v>2498</v>
      </c>
      <c r="B48" s="385"/>
      <c r="C48" s="385"/>
      <c r="D48" s="385"/>
      <c r="E48" s="385"/>
      <c r="F48" s="385"/>
      <c r="G48" s="15">
        <v>167</v>
      </c>
      <c r="H48" s="16"/>
      <c r="I48" s="66">
        <f>SUM(I49:I55)</f>
        <v>488395</v>
      </c>
      <c r="J48" s="66">
        <f>SUM(J49:J55)</f>
        <v>430191</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482801</v>
      </c>
      <c r="J51" s="67">
        <v>413385</v>
      </c>
    </row>
    <row r="52" spans="1:10" s="2" customFormat="1" ht="14.25" customHeight="1">
      <c r="A52" s="408" t="s">
        <v>1090</v>
      </c>
      <c r="B52" s="408"/>
      <c r="C52" s="408"/>
      <c r="D52" s="408"/>
      <c r="E52" s="408"/>
      <c r="F52" s="408"/>
      <c r="G52" s="15">
        <v>171</v>
      </c>
      <c r="H52" s="16"/>
      <c r="I52" s="67">
        <v>5594</v>
      </c>
      <c r="J52" s="67">
        <v>16806</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60308290</v>
      </c>
      <c r="J60" s="66">
        <f>J8+J37+J56+J57</f>
        <v>72709666</v>
      </c>
    </row>
    <row r="61" spans="1:10" s="2" customFormat="1" ht="14.25" customHeight="1">
      <c r="A61" s="385" t="s">
        <v>2500</v>
      </c>
      <c r="B61" s="385"/>
      <c r="C61" s="385"/>
      <c r="D61" s="385"/>
      <c r="E61" s="385"/>
      <c r="F61" s="385"/>
      <c r="G61" s="15">
        <v>180</v>
      </c>
      <c r="H61" s="16"/>
      <c r="I61" s="66">
        <f>I14+I48+I58+I59</f>
        <v>62869244</v>
      </c>
      <c r="J61" s="66">
        <f>J14+J48+J58+J59</f>
        <v>73711073</v>
      </c>
    </row>
    <row r="62" spans="1:12" s="2" customFormat="1" ht="14.25" customHeight="1">
      <c r="A62" s="385" t="s">
        <v>2501</v>
      </c>
      <c r="B62" s="385"/>
      <c r="C62" s="385"/>
      <c r="D62" s="385"/>
      <c r="E62" s="385"/>
      <c r="F62" s="385"/>
      <c r="G62" s="15">
        <v>181</v>
      </c>
      <c r="H62" s="16"/>
      <c r="I62" s="66">
        <f>I60-I61</f>
        <v>-2560954</v>
      </c>
      <c r="J62" s="66">
        <f>J60-J61</f>
        <v>-1001407</v>
      </c>
      <c r="L62" s="2" t="s">
        <v>1209</v>
      </c>
    </row>
    <row r="63" spans="1:10" s="2" customFormat="1" ht="14.25" customHeight="1">
      <c r="A63" s="408" t="s">
        <v>2502</v>
      </c>
      <c r="B63" s="408"/>
      <c r="C63" s="408"/>
      <c r="D63" s="408"/>
      <c r="E63" s="408"/>
      <c r="F63" s="408"/>
      <c r="G63" s="15">
        <v>182</v>
      </c>
      <c r="H63" s="16"/>
      <c r="I63" s="66">
        <f>IF(I60&gt;I61,I60-I61,0)</f>
        <v>0</v>
      </c>
      <c r="J63" s="66">
        <f>IF(J60&gt;J61,J60-J61,0)</f>
        <v>0</v>
      </c>
    </row>
    <row r="64" spans="1:10" s="2" customFormat="1" ht="14.25" customHeight="1">
      <c r="A64" s="408" t="s">
        <v>2503</v>
      </c>
      <c r="B64" s="408"/>
      <c r="C64" s="408"/>
      <c r="D64" s="408"/>
      <c r="E64" s="408"/>
      <c r="F64" s="408"/>
      <c r="G64" s="15">
        <v>183</v>
      </c>
      <c r="H64" s="16"/>
      <c r="I64" s="66">
        <f>IF(I61&gt;I60,I61-I60,0)</f>
        <v>2560954</v>
      </c>
      <c r="J64" s="66">
        <f>IF(J61&gt;J60,J61-J60,0)</f>
        <v>1001407</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-2560954</v>
      </c>
      <c r="J66" s="66">
        <f>J62-J65</f>
        <v>-1001407</v>
      </c>
      <c r="L66" s="2" t="s">
        <v>1209</v>
      </c>
    </row>
    <row r="67" spans="1:10" s="2" customFormat="1" ht="14.25" customHeight="1">
      <c r="A67" s="408" t="s">
        <v>2505</v>
      </c>
      <c r="B67" s="408"/>
      <c r="C67" s="408"/>
      <c r="D67" s="408"/>
      <c r="E67" s="408"/>
      <c r="F67" s="408"/>
      <c r="G67" s="15">
        <v>186</v>
      </c>
      <c r="H67" s="16"/>
      <c r="I67" s="66">
        <f>IF(I66&gt;0,I66,0)</f>
        <v>0</v>
      </c>
      <c r="J67" s="66">
        <f>IF(J66&gt;0,J66,0)</f>
        <v>0</v>
      </c>
    </row>
    <row r="68" spans="1:10" s="2" customFormat="1" ht="14.25" customHeight="1">
      <c r="A68" s="412" t="s">
        <v>2506</v>
      </c>
      <c r="B68" s="412"/>
      <c r="C68" s="412"/>
      <c r="D68" s="412"/>
      <c r="E68" s="412"/>
      <c r="F68" s="412"/>
      <c r="G68" s="17">
        <v>187</v>
      </c>
      <c r="H68" s="18"/>
      <c r="I68" s="81">
        <f>IF(I66&lt;0,-I66,0)</f>
        <v>2560954</v>
      </c>
      <c r="J68" s="81">
        <f>IF(J66&lt;0,-J66,0)</f>
        <v>1001407</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6" activePane="bottomLeft" state="frozen"/>
      <selection pane="topLeft" activeCell="A1" sqref="A1"/>
      <selection pane="bottomLeft" activeCell="J25" sqref="J2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17055681355; KOMUNALAC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1.25">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17055681355; KOMUNALAC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38" activePane="bottomLeft" state="frozen"/>
      <selection pane="topLeft" activeCell="A1" sqref="A1"/>
      <selection pane="bottomLeft" activeCell="J54" sqref="J54"/>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1</v>
      </c>
      <c r="R1" s="69" t="s">
        <v>792</v>
      </c>
    </row>
    <row r="2" spans="1:18" s="2" customFormat="1" ht="19.5" customHeight="1">
      <c r="A2" s="436" t="s">
        <v>1103</v>
      </c>
      <c r="B2" s="437"/>
      <c r="C2" s="437"/>
      <c r="D2" s="437"/>
      <c r="E2" s="437"/>
      <c r="F2" s="437"/>
      <c r="G2" s="437"/>
      <c r="H2" s="437"/>
      <c r="I2" s="438"/>
      <c r="J2" s="392" t="s">
        <v>1213</v>
      </c>
      <c r="Q2" s="70">
        <f>IF(OR(MIN(I8:I54)&lt;0,MAX(I8:I54)&gt;0),1,0)</f>
        <v>1</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1</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17055681355; KOMUNALAC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v>99440887</v>
      </c>
      <c r="J9" s="90">
        <v>109626156</v>
      </c>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v>19312</v>
      </c>
      <c r="J11" s="73">
        <v>7100</v>
      </c>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99460199</v>
      </c>
      <c r="J14" s="82">
        <f>SUM(J9:J13)</f>
        <v>109633256</v>
      </c>
      <c r="L14" s="2" t="s">
        <v>2525</v>
      </c>
    </row>
    <row r="15" spans="1:12" s="2" customFormat="1" ht="13.5" customHeight="1">
      <c r="A15" s="387" t="s">
        <v>1713</v>
      </c>
      <c r="B15" s="387"/>
      <c r="C15" s="387"/>
      <c r="D15" s="387"/>
      <c r="E15" s="387"/>
      <c r="F15" s="387"/>
      <c r="G15" s="15">
        <v>7</v>
      </c>
      <c r="H15" s="19"/>
      <c r="I15" s="73">
        <v>-32487509</v>
      </c>
      <c r="J15" s="73">
        <v>-41007047</v>
      </c>
      <c r="L15" s="2" t="s">
        <v>1209</v>
      </c>
    </row>
    <row r="16" spans="1:12" s="2" customFormat="1" ht="13.5" customHeight="1">
      <c r="A16" s="387" t="s">
        <v>1714</v>
      </c>
      <c r="B16" s="387"/>
      <c r="C16" s="387"/>
      <c r="D16" s="387"/>
      <c r="E16" s="387"/>
      <c r="F16" s="387"/>
      <c r="G16" s="15">
        <v>8</v>
      </c>
      <c r="H16" s="19"/>
      <c r="I16" s="73">
        <v>-30407272</v>
      </c>
      <c r="J16" s="73">
        <v>-32466848</v>
      </c>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v>-259138</v>
      </c>
      <c r="J18" s="73">
        <v>-201314</v>
      </c>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v>-30951639</v>
      </c>
      <c r="J20" s="73">
        <v>-31320995</v>
      </c>
      <c r="L20" s="2" t="s">
        <v>1209</v>
      </c>
    </row>
    <row r="21" spans="1:12" s="2" customFormat="1" ht="13.5" customHeight="1">
      <c r="A21" s="411" t="s">
        <v>1718</v>
      </c>
      <c r="B21" s="411"/>
      <c r="C21" s="411"/>
      <c r="D21" s="411"/>
      <c r="E21" s="411"/>
      <c r="F21" s="411"/>
      <c r="G21" s="15">
        <v>13</v>
      </c>
      <c r="H21" s="19"/>
      <c r="I21" s="82">
        <f>SUM(I15:I20)</f>
        <v>-94105558</v>
      </c>
      <c r="J21" s="82">
        <f>SUM(J15:J20)</f>
        <v>-104996204</v>
      </c>
      <c r="L21" s="2" t="s">
        <v>1209</v>
      </c>
    </row>
    <row r="22" spans="1:10" s="2" customFormat="1" ht="15" customHeight="1">
      <c r="A22" s="453" t="s">
        <v>920</v>
      </c>
      <c r="B22" s="453"/>
      <c r="C22" s="453"/>
      <c r="D22" s="453"/>
      <c r="E22" s="453"/>
      <c r="F22" s="453"/>
      <c r="G22" s="17">
        <v>14</v>
      </c>
      <c r="H22" s="20"/>
      <c r="I22" s="83">
        <f>I14+I21</f>
        <v>5354641</v>
      </c>
      <c r="J22" s="83">
        <f>J14+J21</f>
        <v>4637052</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v>4300</v>
      </c>
      <c r="J24" s="90">
        <v>540110</v>
      </c>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v>718</v>
      </c>
      <c r="J26" s="73">
        <v>204951</v>
      </c>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v>27603</v>
      </c>
      <c r="J28" s="73">
        <v>10326</v>
      </c>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32621</v>
      </c>
      <c r="J30" s="82">
        <f>SUM(J24:J29)</f>
        <v>755387</v>
      </c>
      <c r="L30" s="2" t="s">
        <v>2525</v>
      </c>
    </row>
    <row r="31" spans="1:12" s="2" customFormat="1" ht="15" customHeight="1">
      <c r="A31" s="408" t="s">
        <v>2088</v>
      </c>
      <c r="B31" s="408"/>
      <c r="C31" s="408"/>
      <c r="D31" s="408"/>
      <c r="E31" s="408"/>
      <c r="F31" s="408"/>
      <c r="G31" s="15">
        <v>22</v>
      </c>
      <c r="H31" s="19"/>
      <c r="I31" s="73">
        <v>-119148</v>
      </c>
      <c r="J31" s="73">
        <v>-135696</v>
      </c>
      <c r="L31" s="2" t="s">
        <v>1209</v>
      </c>
    </row>
    <row r="32" spans="1:12" s="2" customFormat="1" ht="13.5" customHeight="1">
      <c r="A32" s="408" t="s">
        <v>2089</v>
      </c>
      <c r="B32" s="408"/>
      <c r="C32" s="408"/>
      <c r="D32" s="408"/>
      <c r="E32" s="408"/>
      <c r="F32" s="408"/>
      <c r="G32" s="15">
        <v>23</v>
      </c>
      <c r="H32" s="19"/>
      <c r="I32" s="73">
        <v>-15000</v>
      </c>
      <c r="J32" s="73"/>
      <c r="L32" s="2" t="s">
        <v>1209</v>
      </c>
    </row>
    <row r="33" spans="1:12" s="2" customFormat="1" ht="13.5" customHeight="1">
      <c r="A33" s="408" t="s">
        <v>2090</v>
      </c>
      <c r="B33" s="408"/>
      <c r="C33" s="408"/>
      <c r="D33" s="408"/>
      <c r="E33" s="408"/>
      <c r="F33" s="408"/>
      <c r="G33" s="15">
        <v>24</v>
      </c>
      <c r="H33" s="19"/>
      <c r="I33" s="73"/>
      <c r="J33" s="73">
        <v>-36000</v>
      </c>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-134148</v>
      </c>
      <c r="J36" s="82">
        <f>SUM(J31:J35)</f>
        <v>-171696</v>
      </c>
      <c r="L36" s="2" t="s">
        <v>1209</v>
      </c>
    </row>
    <row r="37" spans="1:10" s="2" customFormat="1" ht="15" customHeight="1">
      <c r="A37" s="453" t="s">
        <v>1721</v>
      </c>
      <c r="B37" s="453"/>
      <c r="C37" s="453"/>
      <c r="D37" s="453"/>
      <c r="E37" s="453"/>
      <c r="F37" s="453"/>
      <c r="G37" s="17">
        <v>28</v>
      </c>
      <c r="H37" s="20"/>
      <c r="I37" s="83">
        <f>I30+I36</f>
        <v>-101527</v>
      </c>
      <c r="J37" s="83">
        <f>J30+J36</f>
        <v>583691</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v>578844</v>
      </c>
      <c r="J41" s="73"/>
      <c r="L41" s="2" t="s">
        <v>2525</v>
      </c>
    </row>
    <row r="42" spans="1:12" s="2" customFormat="1" ht="13.5" customHeight="1">
      <c r="A42" s="387" t="s">
        <v>2534</v>
      </c>
      <c r="B42" s="387"/>
      <c r="C42" s="387"/>
      <c r="D42" s="387"/>
      <c r="E42" s="387"/>
      <c r="F42" s="387"/>
      <c r="G42" s="15">
        <v>32</v>
      </c>
      <c r="H42" s="19"/>
      <c r="I42" s="73">
        <v>10680</v>
      </c>
      <c r="J42" s="73">
        <v>33061</v>
      </c>
      <c r="L42" s="2" t="s">
        <v>2525</v>
      </c>
    </row>
    <row r="43" spans="1:12" s="2" customFormat="1" ht="15" customHeight="1">
      <c r="A43" s="411" t="s">
        <v>1722</v>
      </c>
      <c r="B43" s="411"/>
      <c r="C43" s="411"/>
      <c r="D43" s="411"/>
      <c r="E43" s="411"/>
      <c r="F43" s="411"/>
      <c r="G43" s="15">
        <v>33</v>
      </c>
      <c r="H43" s="19"/>
      <c r="I43" s="82">
        <f>SUM(I39:I42)</f>
        <v>589524</v>
      </c>
      <c r="J43" s="82">
        <f>SUM(J39:J42)</f>
        <v>33061</v>
      </c>
      <c r="L43" s="2" t="s">
        <v>2525</v>
      </c>
    </row>
    <row r="44" spans="1:12" s="2" customFormat="1" ht="25.5" customHeight="1">
      <c r="A44" s="387" t="s">
        <v>2535</v>
      </c>
      <c r="B44" s="387"/>
      <c r="C44" s="387"/>
      <c r="D44" s="387"/>
      <c r="E44" s="387"/>
      <c r="F44" s="387"/>
      <c r="G44" s="15">
        <v>34</v>
      </c>
      <c r="H44" s="19"/>
      <c r="I44" s="73">
        <v>-5469270</v>
      </c>
      <c r="J44" s="73">
        <v>-5210983</v>
      </c>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v>-231839</v>
      </c>
      <c r="J48" s="73">
        <v>-4134</v>
      </c>
      <c r="L48" s="2" t="s">
        <v>1209</v>
      </c>
    </row>
    <row r="49" spans="1:12" s="2" customFormat="1" ht="15" customHeight="1">
      <c r="A49" s="411" t="s">
        <v>1723</v>
      </c>
      <c r="B49" s="411"/>
      <c r="C49" s="411"/>
      <c r="D49" s="411"/>
      <c r="E49" s="411"/>
      <c r="F49" s="411"/>
      <c r="G49" s="15">
        <v>39</v>
      </c>
      <c r="H49" s="19"/>
      <c r="I49" s="82">
        <f>SUM(I44:I48)</f>
        <v>-5701109</v>
      </c>
      <c r="J49" s="82">
        <f>SUM(J44:J48)</f>
        <v>-5215117</v>
      </c>
      <c r="L49" s="2" t="s">
        <v>1209</v>
      </c>
    </row>
    <row r="50" spans="1:10" s="2" customFormat="1" ht="15" customHeight="1">
      <c r="A50" s="409" t="s">
        <v>1724</v>
      </c>
      <c r="B50" s="409"/>
      <c r="C50" s="409"/>
      <c r="D50" s="409"/>
      <c r="E50" s="409"/>
      <c r="F50" s="409"/>
      <c r="G50" s="15">
        <v>40</v>
      </c>
      <c r="H50" s="19"/>
      <c r="I50" s="82">
        <f>I43+I49</f>
        <v>-5111585</v>
      </c>
      <c r="J50" s="82">
        <f>J43+J49</f>
        <v>-5182056</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141529</v>
      </c>
      <c r="J52" s="82">
        <f>J22+J37+J50+J51</f>
        <v>38687</v>
      </c>
    </row>
    <row r="53" spans="1:12" s="2" customFormat="1" ht="13.5" customHeight="1">
      <c r="A53" s="409" t="s">
        <v>2810</v>
      </c>
      <c r="B53" s="409"/>
      <c r="C53" s="409"/>
      <c r="D53" s="409"/>
      <c r="E53" s="409"/>
      <c r="F53" s="409"/>
      <c r="G53" s="15">
        <v>43</v>
      </c>
      <c r="H53" s="19"/>
      <c r="I53" s="73">
        <v>2339721</v>
      </c>
      <c r="J53" s="73">
        <v>2481250</v>
      </c>
      <c r="L53" s="2" t="s">
        <v>2525</v>
      </c>
    </row>
    <row r="54" spans="1:12" s="2" customFormat="1" ht="13.5" customHeight="1">
      <c r="A54" s="453" t="s">
        <v>1726</v>
      </c>
      <c r="B54" s="453"/>
      <c r="C54" s="453"/>
      <c r="D54" s="453"/>
      <c r="E54" s="453"/>
      <c r="F54" s="453"/>
      <c r="G54" s="17">
        <v>44</v>
      </c>
      <c r="H54" s="20"/>
      <c r="I54" s="83">
        <f>I52+I53</f>
        <v>2481250</v>
      </c>
      <c r="J54" s="83">
        <f>J52+J53</f>
        <v>2519937</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L1">
      <pane ySplit="1" topLeftCell="A41" activePane="bottomLeft" state="frozen"/>
      <selection pane="topLeft" activeCell="A1" sqref="A1"/>
      <selection pane="bottomLeft" activeCell="X62" sqref="X62"/>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1</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17055681355; KOMUNALAC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v>60421400</v>
      </c>
      <c r="J10" s="21"/>
      <c r="K10" s="21"/>
      <c r="L10" s="21"/>
      <c r="M10" s="21"/>
      <c r="N10" s="21"/>
      <c r="O10" s="21">
        <v>721591</v>
      </c>
      <c r="P10" s="21"/>
      <c r="Q10" s="21"/>
      <c r="R10" s="21"/>
      <c r="S10" s="21"/>
      <c r="T10" s="21"/>
      <c r="U10" s="21"/>
      <c r="V10" s="21">
        <v>-9932755</v>
      </c>
      <c r="W10" s="21"/>
      <c r="X10" s="202">
        <f>SUM(I10:L10)-M10+SUM(N10:W10)</f>
        <v>51210236</v>
      </c>
      <c r="Y10" s="21"/>
      <c r="Z10" s="202">
        <f>Y10+X10</f>
        <v>51210236</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60421400</v>
      </c>
      <c r="J13" s="202">
        <f aca="true" t="shared" si="2" ref="J13:W13">SUM(J10:J12)</f>
        <v>0</v>
      </c>
      <c r="K13" s="202">
        <f t="shared" si="2"/>
        <v>0</v>
      </c>
      <c r="L13" s="202">
        <f t="shared" si="2"/>
        <v>0</v>
      </c>
      <c r="M13" s="202">
        <f t="shared" si="2"/>
        <v>0</v>
      </c>
      <c r="N13" s="202">
        <f t="shared" si="2"/>
        <v>0</v>
      </c>
      <c r="O13" s="202">
        <f t="shared" si="2"/>
        <v>721591</v>
      </c>
      <c r="P13" s="202">
        <f t="shared" si="2"/>
        <v>0</v>
      </c>
      <c r="Q13" s="202">
        <f t="shared" si="2"/>
        <v>0</v>
      </c>
      <c r="R13" s="202">
        <f t="shared" si="2"/>
        <v>0</v>
      </c>
      <c r="S13" s="202">
        <f t="shared" si="2"/>
        <v>0</v>
      </c>
      <c r="T13" s="202">
        <f>SUM(T10:T12)</f>
        <v>0</v>
      </c>
      <c r="U13" s="202">
        <f>SUM(U10:U12)</f>
        <v>0</v>
      </c>
      <c r="V13" s="202">
        <f t="shared" si="2"/>
        <v>-9932755</v>
      </c>
      <c r="W13" s="202">
        <f t="shared" si="2"/>
        <v>0</v>
      </c>
      <c r="X13" s="202">
        <f t="shared" si="0"/>
        <v>51210236</v>
      </c>
      <c r="Y13" s="202">
        <f>SUM(Y10:Y12)</f>
        <v>0</v>
      </c>
      <c r="Z13" s="202">
        <f t="shared" si="1"/>
        <v>51210236</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v>-2560954</v>
      </c>
      <c r="X14" s="202">
        <f t="shared" si="0"/>
        <v>-2560954</v>
      </c>
      <c r="Y14" s="21"/>
      <c r="Z14" s="202">
        <f t="shared" si="1"/>
        <v>-2560954</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60421400</v>
      </c>
      <c r="J33" s="201">
        <f aca="true" t="shared" si="3" ref="J33:W33">SUM(J13:J32)</f>
        <v>0</v>
      </c>
      <c r="K33" s="201">
        <f t="shared" si="3"/>
        <v>0</v>
      </c>
      <c r="L33" s="201">
        <f t="shared" si="3"/>
        <v>0</v>
      </c>
      <c r="M33" s="201">
        <f t="shared" si="3"/>
        <v>0</v>
      </c>
      <c r="N33" s="201">
        <f t="shared" si="3"/>
        <v>0</v>
      </c>
      <c r="O33" s="201">
        <f t="shared" si="3"/>
        <v>721591</v>
      </c>
      <c r="P33" s="201">
        <f t="shared" si="3"/>
        <v>0</v>
      </c>
      <c r="Q33" s="201">
        <f t="shared" si="3"/>
        <v>0</v>
      </c>
      <c r="R33" s="201">
        <f t="shared" si="3"/>
        <v>0</v>
      </c>
      <c r="S33" s="201">
        <f t="shared" si="3"/>
        <v>0</v>
      </c>
      <c r="T33" s="201">
        <f>SUM(T13:T32)</f>
        <v>0</v>
      </c>
      <c r="U33" s="201">
        <f>SUM(U13:U32)</f>
        <v>0</v>
      </c>
      <c r="V33" s="201">
        <f t="shared" si="3"/>
        <v>-9932755</v>
      </c>
      <c r="W33" s="201">
        <f t="shared" si="3"/>
        <v>-2560954</v>
      </c>
      <c r="X33" s="201">
        <f t="shared" si="0"/>
        <v>48649282</v>
      </c>
      <c r="Y33" s="201">
        <f>SUM(Y13:Y32)</f>
        <v>0</v>
      </c>
      <c r="Z33" s="201">
        <f t="shared" si="1"/>
        <v>48649282</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v>60421400</v>
      </c>
      <c r="J39" s="21"/>
      <c r="K39" s="21"/>
      <c r="L39" s="21"/>
      <c r="M39" s="21"/>
      <c r="N39" s="21"/>
      <c r="O39" s="21">
        <v>721591</v>
      </c>
      <c r="P39" s="21"/>
      <c r="Q39" s="21"/>
      <c r="R39" s="21"/>
      <c r="S39" s="21"/>
      <c r="T39" s="21"/>
      <c r="U39" s="21"/>
      <c r="V39" s="21">
        <v>-12493710</v>
      </c>
      <c r="W39" s="21"/>
      <c r="X39" s="202">
        <f aca="true" t="shared" si="10" ref="X39:X62">SUM(I39:L39)-M39+SUM(N39:W39)</f>
        <v>48649281</v>
      </c>
      <c r="Y39" s="21"/>
      <c r="Z39" s="202">
        <f t="shared" si="1"/>
        <v>48649281</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60421400</v>
      </c>
      <c r="J42" s="202">
        <f t="shared" si="11"/>
        <v>0</v>
      </c>
      <c r="K42" s="202">
        <f t="shared" si="11"/>
        <v>0</v>
      </c>
      <c r="L42" s="202">
        <f t="shared" si="11"/>
        <v>0</v>
      </c>
      <c r="M42" s="202">
        <f t="shared" si="11"/>
        <v>0</v>
      </c>
      <c r="N42" s="202">
        <f t="shared" si="11"/>
        <v>0</v>
      </c>
      <c r="O42" s="202">
        <f t="shared" si="11"/>
        <v>721591</v>
      </c>
      <c r="P42" s="202">
        <f t="shared" si="11"/>
        <v>0</v>
      </c>
      <c r="Q42" s="202">
        <f t="shared" si="11"/>
        <v>0</v>
      </c>
      <c r="R42" s="202">
        <f t="shared" si="11"/>
        <v>0</v>
      </c>
      <c r="S42" s="202">
        <f t="shared" si="11"/>
        <v>0</v>
      </c>
      <c r="T42" s="202">
        <f>SUM(T39:T41)</f>
        <v>0</v>
      </c>
      <c r="U42" s="202">
        <f>SUM(U39:U41)</f>
        <v>0</v>
      </c>
      <c r="V42" s="202">
        <f t="shared" si="11"/>
        <v>-12493710</v>
      </c>
      <c r="W42" s="202">
        <f t="shared" si="11"/>
        <v>0</v>
      </c>
      <c r="X42" s="202">
        <f t="shared" si="10"/>
        <v>48649281</v>
      </c>
      <c r="Y42" s="202">
        <f>SUM(Y39:Y41)</f>
        <v>0</v>
      </c>
      <c r="Z42" s="202">
        <f>Y42+X42</f>
        <v>48649281</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v>-1001407</v>
      </c>
      <c r="X43" s="202">
        <f t="shared" si="10"/>
        <v>-1001407</v>
      </c>
      <c r="Y43" s="21"/>
      <c r="Z43" s="202">
        <f t="shared" si="1"/>
        <v>-1001407</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60421400</v>
      </c>
      <c r="J62" s="201">
        <f t="shared" si="12"/>
        <v>0</v>
      </c>
      <c r="K62" s="201">
        <f t="shared" si="12"/>
        <v>0</v>
      </c>
      <c r="L62" s="201">
        <f t="shared" si="12"/>
        <v>0</v>
      </c>
      <c r="M62" s="201">
        <f t="shared" si="12"/>
        <v>0</v>
      </c>
      <c r="N62" s="201">
        <f t="shared" si="12"/>
        <v>0</v>
      </c>
      <c r="O62" s="201">
        <f t="shared" si="12"/>
        <v>721591</v>
      </c>
      <c r="P62" s="201">
        <f t="shared" si="12"/>
        <v>0</v>
      </c>
      <c r="Q62" s="201">
        <f t="shared" si="12"/>
        <v>0</v>
      </c>
      <c r="R62" s="201">
        <f t="shared" si="12"/>
        <v>0</v>
      </c>
      <c r="S62" s="201">
        <f t="shared" si="12"/>
        <v>0</v>
      </c>
      <c r="T62" s="201">
        <f>SUM(T42:T61)</f>
        <v>0</v>
      </c>
      <c r="U62" s="201">
        <f>SUM(U42:U61)</f>
        <v>0</v>
      </c>
      <c r="V62" s="201">
        <f t="shared" si="12"/>
        <v>-12493710</v>
      </c>
      <c r="W62" s="201">
        <f t="shared" si="12"/>
        <v>-1001407</v>
      </c>
      <c r="X62" s="201">
        <f t="shared" si="10"/>
        <v>47647874</v>
      </c>
      <c r="Y62" s="201">
        <f>SUM(Y42:Y61)</f>
        <v>0</v>
      </c>
      <c r="Z62" s="201">
        <f t="shared" si="1"/>
        <v>47647874</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Antonija Vrbančić</cp:lastModifiedBy>
  <cp:lastPrinted>2023-06-07T07:06:30Z</cp:lastPrinted>
  <dcterms:created xsi:type="dcterms:W3CDTF">2008-10-17T11:51:54Z</dcterms:created>
  <dcterms:modified xsi:type="dcterms:W3CDTF">2023-06-29T10:00:14Z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