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<sst xmlns="http://schemas.openxmlformats.org/spreadsheetml/2006/main" count="3773" uniqueCount="2987">
  <si>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</si>
  <si>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</si>
  <si>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</si>
  <si>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</si>
  <si>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</si>
  <si>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</si>
  <si>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</si>
  <si>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</si>
  <si>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</si>
  <si>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</si>
  <si>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</si>
  <si>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</si>
  <si>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</si>
  <si>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</si>
  <si>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</si>
  <si>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</si>
  <si>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</si>
  <si>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</si>
  <si>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</si>
  <si>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</si>
  <si>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</si>
  <si>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</si>
  <si>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</si>
  <si>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</si>
  <si>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</si>
  <si>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</si>
  <si>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</si>
  <si>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</si>
  <si>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</si>
  <si>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</si>
  <si>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</si>
  <si>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</si>
  <si>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</si>
  <si>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</si>
  <si>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</si>
  <si>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</si>
  <si>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</si>
  <si>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</si>
  <si>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</si>
  <si>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</si>
  <si>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</si>
  <si>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</si>
  <si>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</si>
  <si>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</si>
  <si>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</si>
  <si>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</si>
  <si>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</si>
  <si>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</si>
  <si>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</si>
  <si>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</si>
  <si>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</si>
  <si>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</si>
  <si>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</si>
  <si>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</si>
  <si>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</si>
  <si>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</si>
  <si>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</si>
  <si>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</si>
  <si>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</si>
  <si>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</si>
  <si>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</si>
  <si>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</si>
  <si>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</si>
  <si>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</si>
  <si>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</si>
  <si>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</si>
  <si>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</si>
  <si>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</si>
  <si>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</si>
  <si>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</si>
  <si>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</si>
  <si>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</si>
  <si>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</si>
  <si>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</si>
  <si>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</si>
  <si>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</si>
  <si>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</si>
  <si>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</si>
  <si>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</si>
  <si>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</si>
  <si>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</si>
  <si>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</si>
  <si>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</si>
  <si>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</si>
  <si>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</si>
  <si>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</si>
  <si>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</si>
  <si>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</si>
  <si>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</si>
  <si>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</si>
  <si>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</si>
  <si>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</si>
  <si>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</si>
  <si>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</si>
  <si>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</si>
  <si>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</si>
  <si>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</si>
  <si>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</si>
  <si>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</si>
  <si>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</si>
  <si>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</si>
  <si>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</si>
  <si>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</si>
  <si>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</si>
  <si>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</si>
  <si>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</si>
  <si>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</si>
  <si>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</si>
  <si>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</si>
  <si>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</si>
  <si>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</si>
  <si>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</si>
  <si>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</si>
  <si>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</si>
  <si>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</si>
  <si>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</si>
  <si>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</si>
  <si>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</si>
  <si>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</si>
  <si>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</si>
  <si>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</si>
  <si>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</si>
  <si>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</si>
  <si>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</si>
  <si>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</si>
  <si>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</si>
  <si>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</si>
  <si>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</si>
  <si>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</si>
  <si>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</si>
  <si>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</si>
  <si>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</si>
  <si>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</si>
  <si>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</si>
  <si>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</si>
  <si>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</si>
  <si>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</si>
  <si>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</si>
  <si>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</si>
  <si>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</si>
  <si>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</si>
  <si>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</si>
  <si>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</si>
  <si>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</si>
  <si>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</si>
  <si>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</si>
  <si>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</si>
  <si>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</si>
  <si>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</si>
  <si>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</si>
  <si>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</si>
  <si>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</si>
  <si>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</si>
  <si>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</si>
  <si>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</si>
  <si>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</si>
  <si>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</si>
  <si>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</si>
  <si>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</si>
  <si>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</si>
  <si>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</si>
  <si>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</si>
  <si>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</si>
  <si>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</si>
  <si>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</si>
  <si>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</si>
  <si>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</si>
  <si>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</si>
  <si>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</si>
  <si>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</si>
  <si>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</si>
  <si>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</si>
  <si>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</si>
  <si>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</si>
  <si>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</si>
  <si>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</si>
  <si>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</si>
  <si>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</si>
  <si>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</si>
  <si>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</si>
  <si>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</si>
  <si>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</si>
  <si>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</si>
  <si>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</si>
  <si>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</si>
  <si>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</si>
  <si>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</si>
  <si>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</si>
  <si>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</si>
  <si>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</si>
  <si>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</si>
  <si>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</si>
  <si>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</si>
  <si>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</si>
  <si>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</si>
  <si>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</si>
  <si>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</si>
  <si>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</si>
  <si>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</si>
  <si>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</si>
  <si>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</si>
  <si>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</si>
  <si>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</si>
  <si>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</si>
  <si>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</si>
  <si>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</si>
  <si>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</si>
  <si>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</si>
  <si>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</si>
  <si>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</si>
  <si>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</si>
  <si>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</si>
  <si>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</si>
  <si>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</si>
  <si>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</si>
  <si>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</si>
  <si>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</si>
  <si>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</si>
  <si>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</si>
  <si>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</si>
  <si>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</si>
  <si>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</si>
  <si>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</si>
  <si>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</si>
  <si>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</si>
  <si>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</si>
  <si>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</si>
  <si>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</si>
  <si>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</si>
  <si>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</si>
  <si>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</si>
  <si>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</si>
  <si>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</si>
  <si>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</si>
  <si>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</si>
  <si>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</si>
  <si>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</si>
  <si>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</si>
  <si>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</si>
  <si>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</si>
  <si>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</si>
  <si>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</si>
  <si>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</si>
  <si>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</si>
  <si>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</si>
  <si>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</si>
  <si>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</si>
  <si>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</si>
  <si>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</si>
  <si>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</si>
  <si>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</si>
  <si>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</si>
  <si>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</si>
  <si>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</si>
  <si>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</si>
  <si>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</si>
  <si>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</si>
  <si>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</si>
  <si>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</si>
  <si>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</si>
  <si>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</si>
  <si>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</si>
  <si>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</si>
  <si>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</si>
  <si>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</si>
  <si>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</si>
  <si>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</si>
  <si>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</si>
  <si>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</si>
  <si>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</si>
  <si>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</si>
  <si>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</si>
  <si>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</si>
  <si>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</si>
  <si>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</si>
  <si>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</si>
  <si>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</si>
  <si>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</si>
  <si>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</si>
  <si>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</si>
  <si>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</si>
  <si>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</si>
  <si>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</si>
  <si>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</si>
  <si>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</si>
  <si>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</si>
  <si>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</si>
  <si>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</si>
  <si>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</si>
  <si>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</si>
  <si>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</si>
  <si>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</si>
  <si>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</si>
  <si>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</si>
  <si>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</si>
  <si>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</si>
  <si>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</si>
  <si>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</si>
  <si>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</si>
  <si>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</si>
  <si>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</si>
  <si>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</si>
  <si>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</si>
  <si>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</si>
  <si>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</si>
  <si>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</si>
  <si>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</si>
  <si>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</si>
  <si>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</si>
  <si>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</si>
  <si>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</si>
  <si>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</si>
  <si>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</si>
  <si>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</si>
  <si>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</si>
  <si>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</si>
  <si>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</si>
  <si>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</si>
  <si>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</si>
  <si>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</si>
  <si>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</si>
  <si>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</si>
  <si>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</si>
  <si>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</si>
  <si>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</si>
  <si>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</si>
  <si>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</si>
  <si>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</si>
  <si>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</si>
  <si>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</si>
  <si>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</si>
  <si>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</si>
  <si>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</si>
  <si>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</si>
  <si>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</si>
  <si>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</si>
  <si>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</si>
  <si>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</si>
  <si>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</si>
  <si>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</si>
  <si>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</si>
  <si>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</si>
  <si>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</si>
  <si>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</si>
  <si>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</si>
  <si>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</si>
  <si>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</si>
  <si>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</si>
  <si>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</si>
  <si>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</si>
  <si>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</si>
  <si>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</si>
  <si>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</si>
  <si>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</si>
  <si>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</si>
  <si>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</si>
  <si>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</si>
  <si>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</si>
  <si>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</si>
  <si>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</si>
  <si>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</si>
  <si>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</si>
  <si>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</si>
  <si>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</si>
  <si>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</si>
  <si>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</si>
  <si>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</si>
  <si>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</si>
  <si>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</si>
  <si>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</si>
  <si>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</si>
  <si>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</si>
  <si>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</si>
  <si>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</si>
  <si>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</si>
  <si>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</si>
  <si>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</si>
  <si>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</si>
  <si>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</si>
  <si>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</si>
  <si>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</si>
  <si>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</si>
  <si>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</si>
  <si>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</si>
  <si>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</si>
  <si>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</si>
  <si>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</si>
  <si>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</si>
  <si>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</si>
  <si>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</si>
  <si>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</si>
  <si>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</si>
  <si>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</si>
  <si>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</si>
  <si>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</si>
  <si>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</si>
  <si>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</si>
  <si>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</si>
  <si>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</si>
  <si>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</si>
  <si>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</si>
  <si>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</si>
  <si>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</si>
  <si>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</si>
  <si>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</si>
  <si>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</si>
  <si>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</si>
  <si>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</si>
  <si>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</si>
  <si>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</si>
  <si>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</si>
  <si>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</si>
  <si>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</si>
  <si>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</si>
  <si>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</si>
  <si>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</si>
  <si>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</si>
  <si>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</si>
  <si>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</si>
  <si>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</si>
  <si>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</si>
  <si>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</si>
  <si>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</si>
  <si>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</si>
  <si>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</si>
  <si>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</si>
  <si>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</si>
  <si>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</si>
  <si>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</si>
  <si>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</si>
  <si>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</si>
  <si>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</si>
  <si>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</si>
  <si>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</si>
  <si>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</si>
  <si>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</si>
  <si>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</si>
  <si>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</si>
  <si>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</si>
  <si>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</si>
  <si>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</si>
  <si>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</si>
  <si>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</si>
  <si>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</si>
  <si>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</si>
  <si>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</si>
  <si>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</si>
  <si>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</si>
  <si>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</si>
  <si>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</si>
  <si>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</si>
  <si>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</si>
  <si>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</si>
  <si>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</si>
  <si>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</si>
  <si>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</si>
  <si>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</si>
  <si>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</si>
  <si>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</si>
  <si>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</si>
  <si>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</si>
  <si>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</si>
  <si>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</si>
  <si>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</si>
  <si>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</si>
  <si>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</si>
  <si>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</si>
  <si>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</si>
  <si>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</si>
  <si>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</si>
  <si>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</si>
  <si>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</si>
  <si>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</si>
  <si>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</si>
  <si>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</si>
  <si>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</si>
  <si>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</si>
  <si>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</si>
  <si>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</si>
  <si>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</si>
  <si>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</si>
  <si>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</si>
  <si>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</si>
  <si>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</si>
  <si>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</si>
  <si>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</si>
  <si>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</si>
  <si>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</si>
  <si>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</si>
  <si>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</si>
  <si>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</si>
  <si>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</si>
  <si>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</si>
  <si>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</si>
  <si>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</si>
  <si>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</si>
  <si>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</si>
  <si>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</si>
  <si>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</si>
  <si>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</si>
  <si>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</si>
  <si>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</si>
  <si>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</si>
  <si>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</si>
  <si>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</si>
  <si>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</si>
  <si>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</si>
  <si>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</si>
  <si>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</si>
  <si>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</si>
  <si>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</si>
  <si>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</si>
  <si>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</si>
  <si>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</si>
  <si>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</si>
  <si>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</si>
  <si>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</si>
  <si>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</si>
  <si>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</si>
  <si>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</si>
  <si>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</si>
  <si>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</si>
  <si>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</si>
  <si>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</si>
  <si>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</si>
  <si>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</si>
  <si>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</si>
  <si>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</si>
  <si>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</si>
  <si>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</si>
  <si>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</si>
  <si>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</si>
  <si>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</si>
  <si>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</si>
  <si>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</si>
  <si>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</si>
  <si>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</si>
  <si>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</si>
  <si>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</si>
  <si>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</si>
  <si>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</si>
  <si>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</si>
  <si>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</si>
  <si>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</si>
  <si>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</si>
  <si>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</si>
  <si>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</si>
  <si>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</si>
  <si>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</si>
  <si>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</si>
  <si>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</si>
  <si>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</si>
  <si>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</si>
  <si>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</si>
  <si>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</si>
  <si>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</si>
  <si>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</si>
  <si>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</si>
  <si>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</si>
  <si>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</si>
  <si>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</si>
  <si>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</si>
  <si>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</si>
  <si>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</si>
  <si>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</si>
  <si>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</si>
  <si>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</si>
  <si>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</si>
  <si>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</si>
  <si>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</si>
  <si>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</si>
  <si>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</si>
  <si>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</si>
  <si>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</si>
  <si>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</si>
  <si>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</si>
  <si>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</si>
  <si>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</si>
  <si>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</si>
  <si>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</si>
  <si>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</si>
  <si>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</si>
  <si>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</si>
  <si>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</si>
  <si>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</si>
  <si>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</si>
  <si>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</si>
  <si>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</si>
  <si>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</si>
  <si>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</si>
  <si>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</si>
  <si>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</si>
  <si>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</si>
  <si>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</si>
  <si>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</si>
  <si>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</si>
  <si>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</si>
  <si>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</si>
  <si>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</si>
  <si>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</si>
  <si>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</si>
  <si>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</si>
  <si>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</si>
  <si>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</si>
  <si>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</si>
  <si>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</si>
  <si>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</si>
  <si>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</si>
  <si>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</si>
  <si>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</si>
  <si>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</si>
  <si>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</si>
  <si>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</si>
  <si>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</si>
  <si>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</si>
  <si>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</si>
  <si>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</si>
  <si>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</si>
  <si>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</si>
  <si>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</si>
  <si>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</si>
  <si>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</si>
  <si>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</si>
  <si>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</si>
  <si>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</si>
  <si>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</si>
  <si>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</si>
  <si>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</si>
  <si>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</si>
  <si>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</si>
  <si>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</si>
  <si>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</si>
  <si>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</si>
  <si>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</si>
  <si>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</si>
  <si>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</si>
  <si>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</si>
  <si>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</si>
  <si>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</si>
  <si>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</si>
  <si>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</si>
  <si>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</si>
  <si>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</si>
  <si>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</si>
  <si>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</si>
  <si>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</si>
  <si>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</si>
  <si>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</si>
  <si>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</si>
  <si>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</si>
  <si>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</si>
  <si>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</si>
  <si>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</si>
  <si>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</si>
  <si>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</si>
  <si>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</si>
  <si>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</si>
  <si>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</si>
  <si>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</si>
  <si>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</si>
  <si>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</si>
  <si>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</si>
  <si>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</si>
  <si>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</si>
  <si>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</si>
  <si>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</si>
  <si>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</si>
  <si>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</si>
  <si>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</si>
  <si>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</si>
  <si>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</si>
  <si>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</si>
  <si>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</si>
  <si>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</si>
  <si>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</si>
  <si>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</si>
  <si>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</si>
  <si>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</si>
  <si>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</si>
  <si>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</si>
  <si>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</si>
  <si>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</si>
  <si>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</si>
  <si>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</si>
  <si>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</si>
  <si>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</si>
  <si>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</si>
  <si>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</si>
  <si>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</si>
  <si>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</si>
  <si>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</si>
  <si>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</si>
  <si>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</si>
  <si>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</si>
  <si>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</si>
  <si>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</si>
  <si>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</si>
  <si>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</si>
  <si>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</si>
  <si>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</si>
  <si>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</si>
  <si>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</si>
  <si>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</si>
  <si>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</si>
  <si>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</si>
  <si>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</si>
  <si>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</si>
  <si>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</si>
  <si>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</si>
  <si>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</si>
  <si>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</si>
  <si>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</si>
  <si>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</si>
  <si>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</si>
  <si>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</si>
  <si>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</si>
  <si>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</si>
  <si>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</si>
  <si>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</si>
  <si>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</si>
  <si>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</si>
  <si>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</si>
  <si>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</si>
  <si>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</si>
  <si>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</si>
  <si>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</si>
  <si>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</si>
  <si>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</si>
  <si>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</si>
  <si>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</si>
  <si>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</si>
  <si>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</si>
  <si>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</si>
  <si>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</si>
  <si>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</si>
  <si>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</si>
  <si>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</si>
  <si>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</si>
  <si>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</si>
  <si>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</si>
  <si>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</si>
  <si>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</si>
  <si>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</si>
  <si>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</si>
  <si>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</si>
  <si>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</si>
  <si>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</si>
  <si>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</si>
  <si>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</si>
  <si>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</si>
  <si>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</si>
  <si>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</si>
  <si>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</si>
  <si>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</si>
  <si>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</si>
  <si>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</si>
  <si>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</si>
  <si>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</si>
  <si>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</si>
  <si>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</si>
  <si>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</si>
  <si>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</si>
  <si>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</si>
  <si>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</si>
  <si>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</si>
  <si>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</si>
  <si>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</si>
  <si>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</si>
  <si>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</si>
  <si>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</si>
  <si>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</si>
  <si>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</si>
  <si>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</si>
  <si>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</si>
  <si>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</si>
  <si>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</si>
  <si>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</si>
  <si>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</si>
  <si>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</si>
  <si>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</si>
  <si>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</si>
  <si>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</si>
  <si>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</si>
  <si>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</si>
  <si>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</si>
  <si>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</si>
  <si>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</si>
  <si>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</si>
  <si>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</si>
  <si>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</si>
  <si>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</si>
  <si>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</si>
  <si>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</si>
  <si>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</si>
  <si>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</si>
  <si>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</si>
  <si>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</si>
  <si>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</si>
  <si>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</si>
  <si>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</si>
  <si>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</si>
  <si>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</si>
  <si>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</si>
  <si>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</si>
  <si>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</si>
  <si>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</si>
  <si>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</si>
  <si>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</si>
  <si>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</si>
  <si>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</si>
  <si>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</si>
  <si>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</si>
  <si>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</si>
  <si>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</si>
  <si>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</si>
  <si>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</si>
  <si>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</si>
  <si>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</si>
  <si>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</si>
  <si>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</si>
  <si>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</si>
  <si>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</si>
  <si>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</si>
  <si>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</si>
  <si>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</si>
  <si>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</si>
  <si>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</si>
  <si>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</si>
  <si>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</si>
  <si>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</si>
  <si>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</si>
  <si>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</si>
  <si>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</si>
  <si>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</si>
  <si>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</si>
  <si>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</si>
  <si>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</si>
  <si>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</si>
  <si>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</si>
  <si>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</si>
  <si>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</si>
  <si>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</si>
  <si>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</si>
  <si>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</si>
  <si>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</si>
  <si>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</si>
  <si>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</si>
  <si>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</si>
  <si>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</si>
  <si>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</si>
  <si>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</si>
  <si>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</si>
  <si>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</si>
  <si>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</si>
  <si>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</si>
  <si>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</si>
  <si>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</si>
  <si>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</si>
  <si>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</si>
  <si>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</si>
  <si>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</si>
  <si>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</si>
  <si>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</si>
  <si>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</si>
  <si>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</si>
  <si>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</si>
  <si>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</si>
  <si>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</si>
  <si>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</si>
  <si>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</si>
  <si>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</si>
  <si>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</si>
  <si>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</si>
  <si>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</si>
  <si>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</si>
  <si>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</si>
  <si>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</si>
  <si>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</si>
  <si>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</si>
  <si>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</si>
  <si>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</si>
  <si>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</si>
  <si>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</si>
  <si>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</si>
  <si>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</si>
  <si>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</si>
  <si>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</si>
  <si>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</si>
  <si>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</si>
  <si>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</si>
  <si>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</si>
  <si>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</si>
  <si>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</si>
  <si>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</si>
  <si>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</si>
  <si>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</si>
  <si>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</si>
  <si>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</si>
  <si>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</si>
  <si>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</si>
  <si>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</si>
  <si>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</si>
  <si>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</si>
  <si>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</si>
  <si>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</si>
  <si>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</si>
  <si>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</si>
  <si>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</si>
  <si>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</si>
  <si>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</si>
  <si>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</si>
  <si>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</si>
  <si>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</si>
  <si>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</si>
  <si>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</si>
  <si>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</si>
  <si>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</si>
  <si>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</si>
  <si>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</si>
  <si>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</si>
  <si>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</si>
  <si>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</si>
  <si>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</si>
  <si>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</si>
  <si>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</si>
  <si>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</si>
  <si>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</si>
  <si>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</si>
  <si>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</si>
  <si>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</si>
  <si>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</si>
  <si>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</si>
  <si>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</si>
  <si>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</si>
  <si>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</si>
  <si>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</si>
  <si>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</si>
  <si>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</si>
  <si>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</si>
  <si>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</si>
  <si>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</si>
  <si>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</si>
  <si>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</si>
  <si>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</si>
  <si>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</si>
  <si>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</si>
  <si>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</si>
  <si>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</si>
  <si>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</si>
  <si>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</si>
  <si>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</si>
  <si>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</si>
  <si>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</si>
  <si>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</si>
  <si>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</si>
  <si>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</si>
  <si>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</si>
  <si>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</si>
  <si>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</si>
  <si>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</si>
  <si>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</si>
  <si>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</si>
  <si>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</si>
  <si>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</si>
  <si>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</si>
  <si>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</si>
  <si>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</si>
  <si>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</si>
  <si>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</si>
  <si>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</si>
  <si>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</si>
  <si>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</si>
  <si>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</si>
  <si>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</si>
  <si>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</si>
  <si>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</si>
  <si>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</si>
  <si>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</si>
  <si>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</si>
  <si>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</si>
  <si>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</si>
  <si>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</si>
  <si>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</si>
  <si>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</si>
  <si>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</si>
  <si>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</si>
  <si>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</si>
  <si>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</si>
  <si>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</si>
  <si>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</si>
  <si>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</si>
  <si>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</si>
  <si>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</si>
  <si>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</si>
  <si>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</si>
  <si>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</si>
  <si>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</si>
  <si>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</si>
  <si>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</si>
  <si>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</si>
  <si>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</si>
  <si>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</si>
  <si>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</si>
  <si>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</si>
  <si>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</si>
  <si>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</si>
  <si>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</si>
  <si>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</si>
  <si>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</si>
  <si>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</si>
  <si>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</si>
  <si>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</si>
  <si>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</si>
  <si>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</si>
  <si>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</si>
  <si>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</si>
  <si>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</si>
  <si>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</si>
  <si>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</si>
  <si>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</si>
  <si>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</si>
  <si>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</si>
  <si>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</si>
  <si>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</si>
  <si>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</si>
  <si>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</si>
  <si>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</si>
  <si>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</si>
  <si>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</si>
  <si>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</si>
  <si>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</si>
  <si>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</si>
  <si>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</si>
  <si>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</si>
  <si>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</si>
  <si>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</si>
  <si>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</si>
  <si>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</si>
  <si>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</si>
  <si>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</si>
  <si>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</si>
  <si>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</si>
  <si>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</si>
  <si>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</si>
  <si>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</si>
  <si>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</si>
  <si>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</si>
  <si>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</si>
  <si>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</si>
  <si>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</si>
  <si>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</si>
  <si>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</si>
  <si>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</si>
  <si>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</si>
  <si>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</si>
  <si>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</si>
  <si>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</si>
  <si>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</si>
  <si>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</si>
  <si>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</si>
  <si>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</si>
  <si>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</si>
  <si>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</si>
  <si>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</si>
  <si>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</si>
  <si>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</si>
  <si>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</si>
  <si>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</si>
  <si>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</si>
  <si>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</si>
  <si>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</si>
  <si>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</si>
  <si>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</si>
  <si>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</si>
  <si>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</si>
  <si>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</si>
  <si>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</si>
  <si>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</si>
  <si>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</si>
  <si>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</si>
  <si>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</si>
  <si>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</si>
  <si>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</si>
  <si>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</si>
  <si>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</si>
  <si>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</si>
  <si>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</si>
  <si>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</si>
  <si>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</si>
  <si>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</si>
  <si>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</si>
  <si>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</si>
  <si>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</si>
  <si>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</si>
  <si>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</si>
  <si>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</si>
  <si>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</si>
  <si>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</si>
  <si>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</si>
  <si>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</si>
  <si>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</si>
  <si>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</si>
  <si>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</si>
  <si>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</si>
  <si>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</si>
  <si>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</si>
  <si>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</si>
  <si>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</si>
  <si>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</si>
  <si>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</si>
  <si>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</si>
  <si>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</si>
  <si>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</si>
  <si>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</si>
  <si>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</si>
  <si>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</si>
  <si>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</si>
  <si>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</si>
  <si>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</si>
  <si>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</si>
  <si>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</si>
  <si>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</si>
  <si>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</si>
  <si>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</si>
  <si>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</si>
  <si>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</si>
  <si>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</si>
  <si>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</si>
  <si>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</si>
  <si>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</si>
  <si>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</si>
  <si>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</si>
  <si>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</si>
  <si>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</si>
  <si>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</si>
  <si>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</si>
  <si>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</si>
  <si>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</si>
  <si>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</si>
  <si>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</si>
  <si>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</si>
  <si>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</si>
  <si>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</si>
  <si>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</si>
  <si>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</si>
  <si>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</si>
  <si>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</si>
  <si>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</si>
  <si>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</si>
  <si>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</si>
  <si>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</si>
  <si>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</si>
  <si>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</si>
  <si>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</si>
  <si>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</si>
  <si>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</si>
  <si>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</si>
  <si>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</si>
  <si>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</si>
  <si>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</si>
  <si>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</si>
  <si>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</si>
  <si>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</si>
  <si>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</si>
  <si>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</si>
  <si>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</si>
  <si>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</si>
  <si>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</si>
  <si>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</si>
  <si>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</si>
  <si>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</si>
  <si>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</si>
  <si>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</si>
  <si>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</si>
  <si>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</si>
  <si>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</si>
  <si>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</si>
  <si>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</si>
  <si>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</si>
  <si>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</si>
  <si>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</si>
  <si>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</si>
  <si>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</si>
  <si>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</si>
  <si>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</si>
  <si>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</si>
  <si>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</si>
  <si>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</si>
  <si>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</si>
  <si>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</si>
  <si>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</si>
  <si>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</si>
  <si>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</si>
  <si>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</si>
  <si>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</si>
  <si>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</si>
  <si>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</si>
  <si>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</si>
  <si>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</si>
  <si>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</si>
  <si>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</si>
  <si>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</si>
  <si>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</si>
  <si>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</si>
  <si>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</si>
  <si>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</si>
  <si>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</si>
  <si>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</si>
  <si>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</si>
  <si>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</si>
  <si>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</si>
  <si>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</si>
  <si>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</si>
  <si>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</si>
  <si>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</si>
  <si>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</si>
  <si>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</si>
  <si>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</si>
  <si>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</si>
  <si>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</si>
  <si>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</si>
  <si>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</si>
  <si>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</si>
  <si>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</si>
  <si>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</si>
  <si>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</si>
  <si>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</si>
  <si>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</si>
  <si>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</si>
  <si>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</si>
  <si>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</si>
  <si>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</si>
  <si>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</si>
  <si>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</si>
  <si>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</si>
  <si>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</si>
  <si>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</si>
  <si>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</si>
  <si>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</si>
  <si>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</si>
  <si>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</si>
  <si>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</si>
  <si>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</si>
  <si>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</si>
  <si>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</si>
  <si>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</si>
  <si>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</si>
  <si>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</si>
  <si>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</si>
  <si>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</si>
  <si>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</si>
  <si>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</si>
  <si>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</si>
  <si>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</si>
  <si>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</si>
  <si>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</si>
  <si>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</si>
  <si>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</si>
  <si>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</si>
  <si>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</si>
  <si>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</si>
  <si>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</si>
  <si>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</si>
  <si>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</si>
  <si>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</si>
  <si>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</si>
  <si>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</si>
  <si>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</si>
  <si>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</si>
  <si>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</si>
  <si>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</si>
  <si>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</si>
  <si>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</si>
  <si>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</si>
  <si>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</si>
  <si>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</si>
  <si>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</si>
  <si>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</si>
  <si>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</si>
  <si>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</si>
  <si>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</si>
  <si>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</si>
  <si>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</si>
  <si>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</si>
  <si>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</si>
  <si>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</si>
  <si>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</si>
  <si>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</si>
  <si>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</si>
  <si>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</si>
  <si>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</si>
  <si>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</si>
  <si>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</si>
  <si>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</si>
  <si>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</si>
  <si>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</si>
  <si>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</si>
  <si>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</si>
  <si>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</si>
  <si>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</si>
  <si>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</si>
  <si>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</si>
  <si>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</si>
  <si>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</si>
  <si>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</si>
  <si>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</si>
  <si>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</si>
  <si>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</si>
  <si>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</si>
  <si>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</si>
  <si>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</si>
  <si>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</si>
  <si>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</si>
  <si>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</si>
  <si>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</si>
  <si>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</si>
  <si>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</si>
  <si>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</si>
  <si>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</si>
  <si>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</si>
  <si>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</si>
  <si>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</si>
  <si>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</si>
  <si>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</si>
  <si>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</si>
  <si>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</si>
  <si>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</si>
  <si>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</si>
  <si>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</si>
  <si>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</si>
  <si>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</si>
  <si>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</si>
  <si>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</si>
  <si>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</si>
  <si>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</si>
  <si>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</si>
  <si>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</si>
  <si>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</si>
  <si>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</si>
  <si>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</si>
  <si>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</si>
  <si>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</si>
  <si>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</si>
  <si>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</si>
  <si>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</si>
  <si>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</si>
  <si>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</si>
  <si>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</si>
  <si>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</si>
  <si>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</si>
  <si>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</si>
  <si>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</si>
  <si>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</si>
  <si>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</si>
  <si>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</si>
  <si>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</si>
  <si>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</si>
  <si>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</si>
  <si>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</si>
  <si>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</si>
  <si>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</si>
  <si>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</si>
  <si>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</si>
  <si>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</si>
  <si>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</si>
  <si>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</si>
  <si>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</si>
  <si>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</si>
  <si>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</si>
  <si>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</si>
  <si>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</si>
  <si>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</si>
  <si>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</si>
  <si>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</si>
  <si>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</si>
  <si>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</si>
  <si>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</si>
  <si>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</si>
  <si>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</si>
  <si>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</si>
  <si>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</si>
  <si>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</si>
  <si>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</si>
  <si>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</si>
  <si>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</si>
  <si>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</si>
  <si>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</si>
  <si>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</si>
  <si>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</si>
  <si>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</si>
  <si>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</si>
  <si>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</si>
  <si>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</si>
  <si>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</si>
  <si>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</si>
  <si>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</si>
  <si>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</si>
  <si>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</si>
  <si>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</si>
  <si>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</si>
  <si>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</si>
  <si>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</si>
  <si>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</si>
  <si>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</si>
  <si>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</si>
  <si>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</si>
  <si>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</si>
  <si>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</si>
  <si>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</si>
  <si>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</si>
  <si>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</si>
  <si>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</si>
  <si>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</si>
  <si>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</si>
  <si>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</si>
  <si>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</si>
  <si>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</si>
  <si>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</si>
  <si>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</si>
  <si>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</si>
  <si>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</si>
  <si>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</si>
  <si>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</si>
  <si>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</si>
  <si>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</si>
  <si>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</si>
  <si>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</si>
  <si>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</si>
  <si>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</si>
  <si>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</si>
  <si>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</si>
  <si>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</si>
  <si>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</si>
  <si>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</si>
  <si>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</si>
  <si>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</si>
  <si>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</si>
  <si>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</si>
  <si>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</si>
  <si>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</si>
  <si>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</si>
  <si>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</si>
  <si>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</si>
  <si>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</si>
  <si>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</si>
  <si>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</si>
  <si>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</si>
  <si>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</si>
  <si>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</si>
  <si>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</si>
  <si>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</si>
  <si>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</si>
  <si>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</si>
  <si>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</si>
  <si>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</si>
  <si>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</si>
  <si>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</si>
  <si>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</si>
  <si>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</si>
  <si>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</si>
  <si>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</si>
  <si>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</si>
  <si>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</si>
  <si>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</si>
  <si>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</si>
  <si>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</si>
  <si>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</si>
  <si>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</si>
  <si>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</si>
  <si>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</si>
  <si>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</si>
  <si>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</si>
  <si>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</si>
  <si>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</si>
  <si>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</si>
  <si>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</si>
  <si>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</si>
  <si>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</si>
  <si>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</si>
  <si>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</si>
  <si>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</si>
  <si>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</si>
  <si>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</si>
  <si>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</si>
  <si>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</si>
  <si>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</si>
  <si>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</si>
  <si>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</si>
  <si>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</si>
  <si>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</si>
  <si>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</si>
  <si>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</si>
  <si>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</si>
  <si>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</si>
  <si>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</si>
  <si>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</si>
  <si>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</si>
  <si>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</si>
  <si>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</si>
  <si>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</si>
  <si>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</si>
  <si>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</si>
  <si>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</si>
  <si>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</si>
  <si>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</si>
  <si>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</si>
  <si>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</si>
  <si>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</si>
  <si>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</si>
  <si>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</si>
  <si>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</si>
  <si>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</si>
  <si>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</si>
  <si>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</si>
  <si>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</si>
  <si>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</si>
  <si>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</si>
  <si>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</si>
  <si>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</si>
  <si>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</si>
  <si>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</si>
  <si>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</si>
  <si>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</si>
  <si>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</si>
  <si>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</si>
  <si>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</si>
  <si>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</si>
  <si>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</si>
  <si>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</si>
  <si>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</si>
  <si>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</si>
  <si>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</si>
  <si>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</si>
  <si>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</si>
  <si>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</si>
  <si>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</si>
  <si>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</si>
  <si>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</si>
  <si>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</si>
  <si>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</si>
  <si>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</si>
  <si>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</si>
  <si>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</si>
  <si>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</si>
  <si>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</si>
  <si>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</si>
  <si>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</si>
  <si>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</si>
  <si>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</si>
  <si>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</si>
  <si>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</si>
  <si>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</si>
  <si>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</si>
  <si>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</si>
  <si>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</si>
  <si>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</si>
  <si>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</si>
  <si>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</si>
  <si>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</si>
  <si>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</si>
  <si>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</si>
  <si>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</si>
  <si>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</si>
  <si>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</si>
  <si>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</si>
  <si>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</si>
  <si>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</si>
  <si>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</si>
  <si>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</si>
  <si>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</si>
  <si>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</si>
  <si>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</si>
  <si>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</si>
  <si>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</si>
  <si>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</si>
  <si>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</si>
  <si>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</si>
  <si>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</si>
  <si>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</si>
  <si>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</si>
  <si>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</si>
  <si>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</si>
  <si>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</si>
  <si>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</si>
  <si>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</si>
  <si>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</si>
  <si>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</si>
  <si>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</si>
  <si>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</si>
  <si>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</si>
  <si>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</si>
  <si>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</si>
  <si>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</si>
  <si>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</si>
  <si>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</si>
  <si>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</si>
  <si>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</si>
  <si>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</si>
  <si>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</si>
  <si>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</si>
  <si>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</si>
  <si>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</si>
  <si>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</si>
  <si>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</si>
  <si>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</si>
  <si>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</si>
  <si>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</si>
  <si>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</si>
  <si>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</si>
  <si>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</si>
  <si>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</si>
  <si>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</si>
  <si>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</si>
  <si>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</si>
  <si>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</si>
  <si>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</si>
  <si>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</si>
  <si>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</si>
  <si>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</si>
  <si>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</si>
  <si>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</si>
  <si>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</si>
  <si>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</si>
  <si>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</si>
  <si>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</si>
  <si>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</si>
  <si>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</si>
  <si>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</si>
  <si>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</si>
  <si>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</si>
  <si>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</si>
  <si>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</si>
  <si>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</si>
  <si>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</si>
  <si>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</si>
  <si>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</si>
  <si>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</si>
  <si>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</si>
  <si>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</si>
  <si>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</si>
  <si>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</si>
  <si>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</si>
  <si>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</si>
  <si>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</si>
  <si>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</si>
  <si>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</si>
  <si>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</si>
  <si>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</si>
  <si>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</si>
  <si>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</si>
  <si>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</si>
  <si>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</si>
  <si>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</si>
  <si>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</si>
  <si>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</si>
  <si>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</si>
  <si>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</si>
  <si>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</si>
  <si>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</si>
  <si>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</si>
  <si>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</si>
  <si>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</si>
  <si>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</si>
  <si>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</si>
  <si>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</si>
  <si>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</si>
  <si>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</si>
  <si>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</si>
  <si>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</si>
  <si>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</si>
  <si>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</si>
  <si>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</si>
  <si>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</si>
  <si>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</si>
  <si>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</si>
  <si>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</si>
  <si>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</si>
  <si>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</si>
  <si>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</si>
  <si>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</si>
  <si>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</si>
  <si>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</si>
  <si>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</si>
  <si>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</si>
  <si>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</si>
  <si>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</si>
  <si>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</si>
  <si>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</si>
  <si>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</si>
  <si>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</si>
  <si>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</si>
  <si>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</si>
  <si>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</si>
  <si>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</si>
  <si>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</si>
  <si>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</si>
  <si>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</si>
  <si>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</si>
  <si>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</si>
  <si>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</si>
  <si>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</si>
  <si>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</si>
  <si>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</si>
  <si>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</si>
  <si>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</si>
  <si>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</si>
  <si>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</si>
  <si>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</si>
  <si>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</si>
  <si>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</si>
  <si>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</si>
  <si>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</si>
  <si>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</si>
  <si>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</si>
  <si>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</si>
  <si>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</si>
  <si>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</si>
  <si>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</si>
  <si>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</si>
  <si>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</si>
  <si>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</si>
  <si>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</si>
  <si>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</si>
  <si>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</si>
  <si>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</si>
  <si>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</si>
  <si>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</si>
  <si>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</si>
  <si>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</si>
  <si>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</si>
  <si>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</si>
  <si>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</si>
  <si>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</si>
  <si>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</si>
  <si>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</si>
  <si>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</si>
  <si>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</si>
  <si>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</si>
  <si>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</si>
  <si>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</si>
  <si>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</si>
  <si>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</si>
  <si>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</si>
  <si>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</si>
  <si>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</si>
  <si>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</si>
  <si>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</si>
  <si>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</si>
  <si>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</si>
  <si>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</si>
  <si>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</si>
  <si>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</si>
  <si>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</si>
  <si>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</si>
  <si>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</si>
  <si>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</si>
  <si>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</si>
  <si>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</si>
  <si>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</si>
  <si>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</si>
  <si>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</si>
  <si>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</si>
  <si>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</si>
  <si>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</si>
  <si>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</si>
  <si>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</si>
  <si>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</si>
  <si>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</si>
  <si>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</si>
  <si>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</si>
  <si>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</si>
  <si>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</si>
  <si>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</si>
  <si>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</si>
  <si>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</si>
  <si>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</si>
  <si>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</si>
  <si>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</si>
  <si>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</si>
  <si>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</si>
  <si>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</si>
  <si>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</si>
  <si>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</si>
  <si>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</si>
  <si>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</si>
  <si>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</si>
  <si>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</si>
  <si>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</si>
  <si>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</si>
  <si>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</si>
  <si>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</si>
  <si>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</si>
  <si>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</si>
  <si>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</si>
  <si>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</si>
  <si>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</si>
  <si>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</si>
  <si>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</si>
  <si>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</si>
  <si>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</si>
  <si>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</si>
  <si>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</si>
  <si>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</si>
  <si>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</si>
  <si>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</si>
  <si>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</si>
  <si>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</si>
  <si>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</si>
  <si>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</si>
  <si>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</si>
  <si>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</si>
  <si>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</si>
  <si>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</si>
  <si>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</si>
  <si>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</si>
  <si>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</si>
  <si>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</si>
  <si>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</si>
  <si>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</si>
  <si>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</si>
  <si>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</si>
  <si>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</si>
  <si>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</si>
  <si>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</si>
  <si>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</si>
  <si>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</si>
  <si>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</si>
  <si>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</si>
  <si>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</si>
  <si>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</si>
  <si>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</si>
  <si>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</si>
  <si>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</si>
  <si>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</si>
  <si>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</si>
  <si>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</si>
  <si>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</si>
  <si>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</si>
  <si>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</si>
  <si>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</si>
  <si>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</si>
  <si>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</si>
  <si>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</si>
  <si>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</si>
  <si>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</si>
  <si>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</si>
  <si>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</si>
  <si>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</si>
  <si>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</si>
  <si>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</si>
  <si>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</si>
  <si>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</si>
  <si>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</si>
  <si>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</si>
  <si>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</si>
  <si>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</si>
  <si>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</si>
  <si>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</si>
  <si>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</si>
  <si>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</si>
  <si>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</si>
  <si>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</si>
  <si>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</si>
  <si>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</si>
  <si>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</si>
  <si>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</si>
  <si>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</si>
  <si>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</si>
  <si>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</si>
  <si>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</si>
  <si>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</si>
  <si>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</si>
  <si>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</si>
  <si>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</si>
  <si>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</si>
  <si>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</si>
  <si>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</si>
  <si>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</si>
  <si>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</si>
  <si>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</si>
  <si>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</si>
  <si>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</si>
  <si>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</si>
  <si>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</si>
  <si>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</si>
  <si>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</si>
  <si>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</si>
  <si>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</si>
  <si>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</si>
  <si>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</si>
  <si>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</si>
  <si>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</si>
  <si>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</si>
  <si>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</si>
  <si>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</si>
  <si>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</si>
  <si>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</si>
  <si>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</si>
  <si>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</si>
  <si>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</si>
  <si>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</si>
  <si>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</si>
  <si>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</si>
  <si>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</si>
  <si>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</si>
  <si>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</si>
  <si>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</si>
  <si>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</si>
  <si>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</si>
  <si>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</si>
  <si>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</si>
  <si>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</si>
  <si>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</si>
  <si>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</si>
  <si>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</si>
  <si>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</si>
  <si>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</si>
  <si>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</si>
  <si>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</si>
  <si>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</si>
  <si>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</si>
  <si>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</si>
  <si>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</si>
  <si>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</si>
  <si>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</si>
  <si>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</si>
  <si>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</si>
  <si>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</si>
  <si>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</si>
  <si>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</si>
  <si>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</si>
  <si>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</si>
  <si>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</si>
  <si>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</si>
  <si>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</si>
  <si>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</si>
  <si>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</si>
  <si>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</si>
  <si>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</si>
  <si>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</si>
  <si>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</si>
  <si>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</si>
  <si>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</si>
  <si>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</si>
  <si>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</si>
  <si>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</si>
  <si>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</si>
  <si>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</si>
  <si>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</si>
  <si>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</si>
  <si>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</si>
  <si>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</si>
  <si>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</si>
  <si>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</si>
  <si>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</si>
  <si>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</si>
  <si>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</si>
  <si>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</si>
  <si>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</si>
  <si>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</si>
  <si>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</si>
  <si>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</si>
  <si>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</si>
  <si>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</si>
  <si>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</si>
  <si>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</si>
  <si>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</si>
  <si>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</si>
  <si>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</si>
  <si>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</si>
  <si>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</si>
  <si>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</si>
  <si>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</si>
  <si>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</si>
  <si>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</si>
  <si>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</si>
  <si>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</si>
  <si>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</si>
  <si>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</si>
  <si>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</si>
  <si>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</si>
  <si>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</si>
  <si>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</si>
  <si>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</si>
  <si>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</si>
  <si>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</si>
  <si>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</si>
  <si>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</si>
  <si>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</si>
  <si>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</si>
  <si>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</si>
  <si>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</si>
  <si>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</si>
  <si>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</si>
  <si>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</si>
  <si>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</si>
  <si>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</si>
  <si>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</si>
  <si>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</si>
  <si>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</si>
  <si>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</si>
  <si>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</si>
  <si>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</si>
  <si>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</si>
  <si>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</si>
  <si>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</si>
  <si>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</si>
  <si>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</si>
  <si>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</si>
  <si>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</si>
  <si>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</si>
  <si>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</si>
  <si>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</si>
  <si>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</si>
  <si>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</si>
  <si>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</si>
  <si>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</si>
  <si>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</si>
  <si>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</si>
  <si>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</si>
  <si>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</si>
  <si>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</si>
  <si>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</si>
  <si>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</si>
  <si>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</si>
  <si>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</si>
  <si>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</si>
  <si>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</si>
  <si>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</si>
  <si>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</si>
  <si>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</si>
  <si>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</si>
  <si>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</si>
  <si>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</si>
  <si>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</si>
  <si>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</si>
  <si>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</si>
  <si>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</si>
  <si>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</si>
  <si>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</si>
  <si>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</si>
  <si>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</si>
  <si>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</si>
  <si>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</si>
  <si>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</si>
  <si>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</si>
  <si>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</si>
  <si>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</si>
  <si>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</si>
  <si>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</si>
  <si>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</si>
  <si>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</si>
  <si>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</si>
  <si>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</si>
  <si>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</si>
  <si>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</si>
  <si>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</si>
  <si>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</si>
  <si>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</si>
  <si>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</si>
  <si>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</si>
  <si>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</si>
  <si>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</si>
  <si>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</si>
  <si>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</si>
  <si>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</si>
  <si>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</si>
  <si>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</si>
  <si>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</si>
  <si>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</si>
  <si>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</si>
  <si>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</si>
  <si>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</si>
  <si>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</si>
  <si>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</si>
  <si>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</si>
  <si>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</si>
  <si>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</si>
  <si>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</si>
  <si>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</si>
  <si>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</si>
  <si>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</si>
  <si>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</si>
  <si>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</si>
  <si>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</si>
  <si>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</si>
  <si>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</si>
  <si>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</si>
  <si>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</si>
  <si>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</si>
  <si>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</si>
  <si>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</si>
  <si>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</si>
  <si>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</si>
  <si>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</si>
  <si>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</si>
  <si>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</si>
  <si>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</si>
  <si>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</si>
  <si>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</si>
  <si>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</si>
  <si>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</si>
  <si>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</si>
  <si>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</si>
  <si>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</si>
  <si>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</si>
  <si>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</si>
  <si>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</si>
  <si>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</si>
  <si>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</si>
  <si>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</si>
  <si>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</si>
  <si>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</si>
  <si>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</si>
  <si>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</si>
  <si>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</si>
  <si>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</si>
  <si>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</si>
  <si>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</si>
  <si>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</si>
  <si>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</si>
  <si>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</si>
  <si>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</si>
  <si>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</si>
  <si>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</si>
  <si>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</si>
  <si>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</si>
  <si>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</si>
  <si>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</si>
  <si>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</si>
  <si>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</si>
  <si>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</si>
  <si>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</si>
  <si>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</si>
  <si>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</si>
  <si>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</si>
  <si>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</si>
  <si>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</si>
  <si>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</si>
  <si>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</si>
  <si>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</si>
  <si>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</si>
  <si>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</si>
  <si>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</si>
  <si>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</si>
  <si>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</si>
  <si>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</si>
  <si>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</si>
  <si>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</si>
  <si>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</si>
  <si>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</si>
  <si>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</si>
  <si>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</si>
  <si>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</si>
  <si>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</si>
  <si>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</si>
  <si>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</si>
  <si>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</si>
  <si>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</si>
  <si>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</si>
  <si>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</si>
  <si>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</si>
  <si>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</si>
  <si>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</si>
  <si>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</si>
  <si>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</si>
  <si>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</si>
  <si>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</si>
  <si>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</si>
  <si>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</si>
  <si>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</si>
  <si>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</si>
  <si>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</si>
  <si>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</si>
  <si>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</si>
  <si>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</si>
  <si>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</si>
  <si>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</si>
  <si>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</si>
  <si>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</si>
  <si>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</si>
  <si>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</si>
  <si>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</si>
  <si>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</si>
  <si>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</si>
  <si>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</si>
  <si>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</si>
  <si>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</si>
  <si>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</si>
  <si>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</si>
  <si>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</si>
  <si>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</si>
  <si>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</si>
  <si>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</si>
  <si>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</si>
  <si>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</si>
  <si>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</si>
  <si>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</si>
  <si>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</si>
  <si>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</si>
  <si>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</si>
  <si>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</si>
  <si>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</si>
  <si>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</si>
  <si>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</si>
  <si>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</si>
  <si>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</si>
  <si>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</si>
  <si>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</si>
  <si>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</si>
  <si>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</si>
  <si>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</si>
  <si>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</si>
  <si>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</si>
  <si>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</si>
  <si>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</si>
  <si>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</si>
  <si>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</si>
  <si>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</si>
  <si>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</si>
  <si>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</si>
  <si>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</si>
  <si>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</si>
  <si>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</si>
  <si>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</si>
  <si>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</si>
  <si>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</si>
  <si>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</si>
  <si>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</si>
  <si>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</si>
  <si>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</si>
  <si>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</si>
  <si>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</si>
  <si>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</si>
  <si>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</si>
  <si>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</si>
  <si>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</si>
  <si>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</si>
  <si>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</si>
  <si>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</si>
  <si>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</si>
  <si>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</si>
  <si>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</si>
  <si>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</si>
  <si>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</si>
  <si>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</si>
  <si>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</si>
  <si>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</si>
  <si>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</si>
  <si>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</si>
  <si>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</si>
  <si>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</si>
  <si>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</si>
  <si>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</si>
  <si>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</si>
  <si>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</si>
  <si>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</si>
  <si>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</si>
  <si>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</si>
  <si>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</si>
  <si>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</si>
  <si>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</si>
  <si>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</si>
  <si>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</si>
  <si>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</si>
  <si>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</si>
  <si>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</si>
  <si>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</si>
  <si>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</si>
  <si>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</si>
  <si>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</si>
  <si>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</si>
  <si>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</si>
  <si>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</si>
  <si>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</si>
  <si>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</si>
  <si>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</si>
  <si>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</si>
  <si>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</si>
  <si>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</si>
  <si>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</si>
  <si>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</si>
  <si>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</si>
  <si>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</si>
  <si>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</si>
  <si>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</si>
  <si>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</si>
  <si>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</si>
  <si>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</si>
  <si>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</si>
  <si>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</si>
  <si>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</si>
  <si>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</si>
  <si>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</si>
  <si>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</si>
  <si>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</si>
  <si>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</si>
  <si>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</si>
  <si>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</si>
  <si>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</si>
  <si>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</si>
  <si>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</si>
  <si>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</si>
  <si>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</si>
  <si>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</si>
  <si>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</si>
  <si>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</si>
  <si>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</si>
  <si>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</si>
  <si>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</si>
  <si>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</si>
  <si>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</si>
  <si>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</si>
  <si>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</si>
  <si>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</si>
  <si>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</si>
  <si>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</si>
  <si>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</si>
  <si>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</si>
  <si>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</si>
  <si>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</si>
  <si>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</si>
  <si>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</si>
  <si>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</si>
  <si>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</si>
  <si>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</si>
  <si>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</si>
  <si>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</si>
  <si>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</si>
  <si>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</si>
  <si>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</si>
  <si>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</si>
  <si>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</si>
  <si>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</si>
  <si>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</si>
  <si>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</si>
  <si>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</si>
  <si>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</si>
  <si>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</si>
  <si>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</si>
  <si>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</si>
  <si>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</si>
  <si>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</si>
  <si>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</si>
  <si>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</si>
  <si>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</si>
  <si>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</si>
  <si>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</si>
  <si>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</si>
  <si>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</si>
  <si>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</si>
  <si>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</si>
  <si>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</si>
  <si>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</si>
  <si>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</si>
  <si>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</si>
  <si>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</si>
  <si>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</si>
  <si>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</si>
  <si>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</si>
  <si>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</si>
  <si>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</si>
  <si>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</si>
  <si>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</si>
  <si>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</si>
  <si>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</si>
  <si>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</si>
  <si>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</si>
  <si>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</si>
  <si>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</si>
  <si>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</si>
  <si>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</si>
  <si>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</si>
  <si>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</si>
  <si>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</si>
  <si>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</si>
  <si>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</si>
  <si>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</si>
  <si>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</si>
  <si>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</si>
  <si>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</si>
  <si>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</si>
  <si>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</si>
  <si>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</si>
  <si>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</si>
  <si>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</si>
  <si>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</si>
  <si>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</si>
  <si>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</si>
  <si>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</si>
  <si>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</si>
  <si>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</si>
  <si>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</si>
  <si>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</si>
  <si>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</si>
  <si>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</si>
  <si>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</si>
  <si>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</si>
  <si>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</si>
  <si>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</si>
  <si>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</si>
  <si>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</si>
  <si>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</si>
  <si>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</si>
  <si>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</si>
  <si>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</si>
  <si>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</si>
  <si>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</si>
  <si>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</si>
  <si>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</si>
  <si>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</si>
  <si>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</si>
  <si>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</si>
  <si>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</si>
  <si>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</si>
  <si>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</si>
  <si>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</si>
  <si>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</si>
  <si>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</si>
  <si>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</si>
  <si>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</si>
  <si>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</si>
  <si>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</si>
  <si>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</si>
  <si>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</si>
  <si>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</si>
  <si>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</si>
  <si>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</si>
  <si>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</si>
  <si>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</si>
  <si>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</si>
  <si>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</si>
  <si>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</si>
  <si>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</si>
  <si>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</si>
  <si>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</si>
  <si>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</si>
  <si>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</si>
  <si>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</si>
  <si>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</si>
  <si>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</si>
  <si>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</si>
  <si>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</si>
  <si>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</si>
  <si>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</si>
  <si>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</si>
  <si>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</si>
  <si>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</si>
  <si>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</si>
  <si>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</si>
  <si>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</si>
  <si>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</si>
  <si>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</si>
  <si>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</si>
  <si>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</si>
  <si>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</si>
  <si>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</si>
  <si>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</si>
  <si>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</si>
  <si>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</si>
  <si>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</si>
  <si>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</si>
  <si>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</si>
  <si>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</si>
  <si>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</si>
  <si>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</si>
  <si>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</si>
  <si>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</si>
  <si>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</si>
  <si>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</si>
  <si>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</si>
  <si>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</si>
  <si>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</si>
  <si>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</si>
  <si>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</si>
  <si>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</si>
  <si>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</si>
  <si>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</si>
  <si>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</si>
  <si>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</si>
  <si>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</si>
  <si>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</si>
  <si>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</si>
  <si>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</si>
  <si>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</si>
  <si>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</si>
  <si>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</si>
  <si>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</si>
  <si>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</si>
  <si>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</si>
  <si>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</si>
  <si>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</si>
  <si>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</si>
  <si>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</si>
  <si>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</si>
  <si>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</si>
  <si>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</si>
  <si>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</si>
  <si>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</si>
  <si>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</si>
  <si>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</si>
  <si>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</si>
  <si>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</si>
  <si>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</si>
  <si>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</si>
  <si>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</si>
  <si>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</si>
  <si>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</si>
  <si>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</si>
  <si>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</si>
  <si>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</si>
  <si>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</si>
  <si>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</si>
  <si>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</si>
  <si>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</si>
  <si>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</si>
  <si>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</si>
  <si>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</si>
  <si>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</si>
  <si>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</si>
  <si>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</si>
  <si>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</si>
  <si>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</si>
  <si>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</si>
  <si>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</si>
  <si>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</si>
  <si>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</si>
  <si>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</si>
  <si>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</si>
  <si>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</si>
  <si>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</si>
  <si>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</si>
  <si>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</si>
  <si>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</si>
  <si>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</si>
  <si>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</si>
  <si>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</si>
  <si>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</si>
  <si>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</si>
  <si>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</si>
  <si>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</si>
  <si>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</si>
  <si>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</si>
  <si>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</si>
  <si>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</si>
  <si>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</si>
  <si>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</si>
  <si>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</si>
  <si>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</si>
  <si>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</si>
  <si>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</si>
  <si>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</si>
  <si>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</si>
  <si>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</si>
  <si>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</si>
  <si>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</si>
  <si>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</si>
  <si>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</si>
  <si>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</si>
  <si>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</si>
  <si>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</si>
  <si>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</si>
  <si>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</si>
  <si>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</si>
  <si>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</si>
  <si>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</si>
  <si>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</si>
  <si>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</si>
  <si>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</si>
  <si>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</si>
  <si>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</si>
  <si>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</si>
  <si>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</si>
  <si>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</si>
  <si>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</si>
  <si>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</si>
  <si>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</si>
  <si>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</si>
  <si>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</si>
  <si>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</si>
  <si>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</si>
  <si>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</si>
  <si>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</si>
  <si>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</si>
  <si>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</si>
  <si>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</si>
  <si>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</si>
  <si>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</si>
  <si>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</si>
  <si>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</si>
  <si>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</si>
  <si>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</si>
  <si>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</si>
  <si>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</si>
  <si>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</si>
  <si>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</si>
  <si>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</si>
  <si>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</si>
  <si>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</si>
  <si>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</si>
  <si>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</si>
  <si>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</si>
  <si>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</si>
  <si>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</si>
  <si>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</si>
  <si>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</si>
  <si>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</si>
  <si>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</si>
  <si>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</si>
  <si>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</si>
  <si>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</si>
  <si>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</si>
  <si>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</si>
  <si>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</si>
  <si>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</si>
  <si>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</si>
  <si>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</si>
  <si>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</si>
  <si>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</si>
  <si>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</si>
  <si>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</si>
  <si>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</si>
  <si>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</si>
  <si>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</si>
  <si>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</si>
  <si>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</si>
  <si>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</si>
  <si>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</si>
  <si>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</si>
  <si>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</si>
  <si>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</si>
  <si>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</si>
  <si>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</si>
  <si>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</si>
  <si>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</si>
  <si>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</si>
  <si>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</si>
  <si>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</si>
  <si>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</si>
  <si>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</si>
  <si>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</si>
  <si>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</si>
  <si>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</si>
  <si>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</si>
  <si>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</si>
  <si>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</si>
  <si>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</si>
  <si>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</si>
  <si>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</si>
  <si>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</si>
  <si>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</si>
  <si>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</si>
  <si>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</si>
  <si>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</si>
  <si>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</si>
  <si>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</si>
  <si>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</si>
  <si>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</si>
  <si>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</si>
  <si>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</si>
  <si>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</si>
  <si>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</si>
  <si>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</si>
  <si>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</si>
  <si>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</si>
  <si>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</si>
  <si>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</si>
  <si>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</si>
  <si>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</si>
  <si>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</si>
  <si>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</si>
  <si>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</si>
  <si>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</si>
  <si>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</si>
  <si>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</si>
  <si>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</si>
  <si>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</si>
  <si>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</si>
  <si>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</si>
  <si>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</si>
  <si>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</si>
  <si>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</si>
  <si>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</si>
  <si>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</si>
  <si>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</si>
  <si>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</si>
  <si>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</si>
  <si>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</si>
  <si>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</si>
  <si>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</si>
  <si>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</si>
  <si>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</si>
  <si>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</si>
  <si>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</si>
  <si>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</si>
  <si>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</si>
  <si>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</si>
  <si>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</si>
  <si>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</si>
  <si>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</si>
  <si>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</si>
  <si>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</si>
  <si>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</si>
  <si>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</si>
  <si>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</si>
  <si>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</si>
  <si>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</si>
  <si>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</si>
  <si>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</si>
  <si>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</si>
  <si>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</si>
  <si>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</si>
  <si>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</si>
  <si>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</si>
  <si>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</si>
  <si>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</si>
  <si>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</si>
  <si>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</si>
  <si>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</si>
  <si>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</si>
  <si>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</si>
  <si>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</si>
  <si>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</si>
  <si>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</si>
  <si>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</si>
  <si>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</si>
  <si>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</si>
  <si>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</si>
  <si>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</si>
  <si>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</si>
  <si>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</si>
  <si>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</si>
  <si>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</si>
  <si>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</si>
  <si>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</si>
  <si>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</si>
  <si>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</si>
  <si>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</si>
  <si>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</si>
  <si>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</si>
  <si>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</si>
  <si>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</si>
  <si>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</si>
  <si>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</si>
  <si>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</si>
  <si>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</si>
  <si>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</si>
  <si>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</si>
  <si>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</si>
  <si>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</si>
  <si>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</si>
  <si>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</si>
  <si>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</si>
  <si>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</si>
  <si>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</si>
  <si>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</si>
  <si>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</si>
  <si>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</si>
  <si>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</si>
  <si>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</si>
  <si>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</si>
  <si>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</si>
  <si>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</si>
  <si>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</si>
  <si>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</si>
  <si>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</si>
  <si>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</si>
  <si>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</si>
  <si>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</si>
  <si>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</si>
  <si>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</si>
  <si>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</si>
  <si>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</si>
  <si>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</si>
  <si>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</si>
  <si>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</si>
  <si>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</si>
  <si>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</si>
  <si>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</si>
  <si>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</si>
  <si>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</si>
  <si>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</si>
  <si>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</si>
  <si>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</si>
  <si>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</si>
  <si>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</si>
  <si>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</si>
  <si>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</si>
  <si>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</si>
  <si>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</si>
  <si>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</si>
  <si>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</si>
  <si>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</si>
  <si>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</si>
  <si>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</si>
  <si>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</si>
  <si>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</si>
  <si>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</si>
  <si>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</si>
  <si>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</si>
  <si>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</si>
  <si>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</si>
  <si>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</si>
  <si>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</si>
  <si>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</si>
  <si>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</si>
  <si>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</si>
  <si>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</si>
  <si>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</si>
  <si>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</si>
  <si>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</si>
  <si>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</si>
  <si>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</si>
  <si>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</si>
  <si>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</si>
  <si>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</si>
  <si>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</si>
  <si>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</si>
  <si>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</si>
  <si>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</si>
  <si>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</si>
  <si>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</si>
  <si>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</si>
  <si>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</si>
  <si>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</si>
  <si>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</si>
  <si>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</si>
  <si>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</si>
  <si>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</si>
  <si>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</si>
  <si>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</si>
  <si>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</si>
  <si>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</si>
  <si>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</si>
  <si>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</si>
  <si>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</si>
  <si>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</si>
  <si>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</si>
  <si>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</si>
  <si>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</si>
  <si>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</si>
  <si>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</si>
  <si>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</si>
  <si>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</si>
  <si>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</si>
  <si>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</si>
  <si>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</si>
  <si>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</si>
  <si>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</si>
  <si>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</si>
  <si>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</si>
  <si>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</si>
  <si>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</si>
  <si>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</si>
  <si>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</si>
  <si>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</si>
  <si>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</si>
  <si>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</si>
  <si>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</si>
  <si>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</si>
  <si>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</si>
  <si>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</si>
  <si>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</si>
  <si>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</si>
  <si>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</si>
  <si>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</si>
  <si>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</si>
  <si>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</si>
  <si>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</si>
  <si>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</si>
  <si>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</si>
  <si>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</si>
  <si>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</si>
  <si>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</si>
  <si>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</si>
  <si>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</si>
  <si>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</si>
  <si>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</si>
  <si>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</si>
  <si>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</si>
  <si>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</si>
  <si>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</si>
  <si>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</si>
  <si>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</si>
  <si>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</si>
  <si>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</si>
  <si>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</si>
  <si>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</si>
  <si>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</si>
  <si>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</si>
  <si>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</si>
  <si>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</si>
  <si>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</si>
  <si>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</si>
  <si>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</si>
  <si>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</si>
  <si>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</si>
  <si>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</si>
  <si>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</si>
  <si>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</si>
  <si>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</si>
  <si>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</si>
  <si>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</si>
  <si>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</si>
  <si>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</si>
  <si>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</si>
  <si>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</si>
  <si>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</si>
  <si>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</si>
  <si>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</si>
  <si>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</si>
  <si>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</si>
  <si>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</si>
  <si>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</si>
  <si>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</si>
  <si>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</si>
  <si>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</si>
  <si>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</si>
  <si>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</si>
  <si>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</si>
  <si>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</si>
  <si>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</si>
  <si>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</si>
  <si>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</si>
  <si>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</si>
  <si>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</si>
  <si>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</si>
  <si>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</si>
  <si>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</si>
  <si>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</si>
  <si>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</si>
  <si>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</si>
  <si>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</si>
  <si>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</si>
  <si>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</si>
  <si>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</si>
  <si>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</si>
  <si>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</si>
  <si>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</si>
  <si>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</si>
  <si>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</si>
  <si>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</si>
  <si>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</si>
  <si>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</si>
  <si>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</si>
  <si>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</si>
  <si>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</si>
  <si>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</si>
  <si>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</si>
  <si>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</si>
  <si>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</si>
  <si>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</si>
  <si>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</si>
  <si>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17055681355</t>
  </si>
  <si>
    <t>01316419</t>
  </si>
  <si>
    <t>KOMUNALAC d.o.o.</t>
  </si>
  <si>
    <t>SAMOBOR</t>
  </si>
  <si>
    <t>Ul. 151. samoborske brigade HV 2</t>
  </si>
  <si>
    <t>komunalac@komunalac-samobor.hr</t>
  </si>
  <si>
    <t>01/5554-300</t>
  </si>
  <si>
    <t>wwww.komunalac-samobor.hr</t>
  </si>
  <si>
    <t>Ljerka Duvnjak</t>
  </si>
  <si>
    <t>01/5554-311</t>
  </si>
  <si>
    <t>ljerrka-duvnjak@komunalac-samobor.hr</t>
  </si>
  <si>
    <t>Ivica Karoglan, dipl. Ing. agr.</t>
  </si>
  <si>
    <t>5.</t>
  </si>
  <si>
    <t>4.4.</t>
  </si>
  <si>
    <t>080173330</t>
  </si>
  <si>
    <t>10858279999</t>
  </si>
  <si>
    <t>4.1.</t>
  </si>
  <si>
    <t>4.1.2.</t>
  </si>
  <si>
    <t>4.1.1.</t>
  </si>
  <si>
    <t>4.2.</t>
  </si>
  <si>
    <t>4.2.1.</t>
  </si>
  <si>
    <t>4.2.2.</t>
  </si>
  <si>
    <t>4.2.3.</t>
  </si>
  <si>
    <t>4.2.4.</t>
  </si>
  <si>
    <t>4.3.</t>
  </si>
  <si>
    <t>4.9</t>
  </si>
  <si>
    <t>4.5.</t>
  </si>
  <si>
    <t>4.6.</t>
  </si>
  <si>
    <t>4.7.</t>
  </si>
  <si>
    <t>4.8.</t>
  </si>
  <si>
    <t>4.9.</t>
  </si>
  <si>
    <t>4.10.1.</t>
  </si>
  <si>
    <t>4.10.2.</t>
  </si>
  <si>
    <t>4.11.</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</si>
</sst>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t="str">
        <f>IF(Bilanca!H10=0,"",Bilanca!H10)</f>
        <v>4.1.</v>
      </c>
      <c r="H3" s="30">
        <f>J3/100*F3+2*K3/100*F3</f>
        <v>5802803.72</v>
      </c>
      <c r="I3" s="31">
        <f>ABS(ROUND(J3,0)-J3)+ABS(ROUND(K3,0)-K3)</f>
        <v>0</v>
      </c>
      <c r="J3" s="31">
        <f>Bilanca!I10</f>
        <v>107688740</v>
      </c>
      <c r="K3" s="31">
        <f>Bilanca!J10</f>
        <v>91225723</v>
      </c>
    </row>
    <row r="4" spans="1:11" ht="12.75">
      <c r="A4" s="4" t="s">
        <v>1088</v>
      </c>
      <c r="B4" s="29" t="s">
        <v>1888</v>
      </c>
      <c r="D4" s="4" t="s">
        <v>1521</v>
      </c>
      <c r="E4" s="4">
        <v>1</v>
      </c>
      <c r="F4" s="4">
        <f>Bilanca!G11</f>
        <v>3</v>
      </c>
      <c r="G4" s="4" t="str">
        <f>IF(Bilanca!H11=0,"",Bilanca!H11)</f>
        <v>4.1.</v>
      </c>
      <c r="H4" s="30">
        <f>J4/100*F4+2*K4/100*F4</f>
        <v>13251.54</v>
      </c>
      <c r="I4" s="31">
        <f>ABS(ROUND(J4,0)-J4)+ABS(ROUND(K4,0)-K4)</f>
        <v>0</v>
      </c>
      <c r="J4" s="31">
        <f>Bilanca!I11</f>
        <v>87388</v>
      </c>
      <c r="K4" s="31">
        <f>Bilanca!J11</f>
        <v>177165</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01316419</v>
      </c>
      <c r="D6" s="4" t="s">
        <v>1521</v>
      </c>
      <c r="E6" s="4">
        <v>1</v>
      </c>
      <c r="F6" s="4">
        <f>Bilanca!G13</f>
        <v>5</v>
      </c>
      <c r="G6" s="4" t="str">
        <f>IF(Bilanca!H13=0,"",Bilanca!H13)</f>
        <v>4.1.</v>
      </c>
      <c r="H6" s="30">
        <f aca="true" t="shared" si="0" ref="H6:H45">J6/100*F6+2*K6/100*F6</f>
        <v>13945.9</v>
      </c>
      <c r="I6" s="31">
        <f aca="true" t="shared" si="1" ref="I6:I45">ABS(ROUND(J6,0)-J6)+ABS(ROUND(K6,0)-K6)</f>
        <v>0</v>
      </c>
      <c r="J6" s="31">
        <f>Bilanca!I13</f>
        <v>87388</v>
      </c>
      <c r="K6" s="31">
        <f>Bilanca!J13</f>
        <v>95765</v>
      </c>
    </row>
    <row r="7" spans="1:11" ht="12.75">
      <c r="A7" s="4" t="s">
        <v>2353</v>
      </c>
      <c r="B7" s="29" t="str">
        <f>RefStr!M27</f>
        <v>080173330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17055681355</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KOMUNALAC d.o.o.</v>
      </c>
      <c r="D9" s="4" t="s">
        <v>1521</v>
      </c>
      <c r="E9" s="4">
        <v>1</v>
      </c>
      <c r="F9" s="4">
        <f>Bilanca!G16</f>
        <v>8</v>
      </c>
      <c r="G9" s="4" t="str">
        <f>IF(Bilanca!H16=0,"",Bilanca!H16)</f>
        <v>4.1.</v>
      </c>
      <c r="H9" s="30">
        <f t="shared" si="0"/>
        <v>13024</v>
      </c>
      <c r="I9" s="31">
        <f t="shared" si="1"/>
        <v>0</v>
      </c>
      <c r="J9" s="31">
        <f>Bilanca!I16</f>
        <v>0</v>
      </c>
      <c r="K9" s="31">
        <f>Bilanca!J16</f>
        <v>81400</v>
      </c>
    </row>
    <row r="10" spans="1:11" ht="12.75">
      <c r="A10" s="4" t="s">
        <v>2355</v>
      </c>
      <c r="B10" s="29" t="str">
        <f>TEXT(RefStr!C31,"00000")</f>
        <v>10430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SAMOBOR</v>
      </c>
      <c r="D11" s="4" t="s">
        <v>1521</v>
      </c>
      <c r="E11" s="4">
        <v>1</v>
      </c>
      <c r="F11" s="4">
        <f>Bilanca!G18</f>
        <v>10</v>
      </c>
      <c r="G11" s="4" t="str">
        <f>IF(Bilanca!H18=0,"",Bilanca!H18)</f>
        <v>4.1.1.</v>
      </c>
      <c r="H11" s="30">
        <f t="shared" si="0"/>
        <v>28745259.4</v>
      </c>
      <c r="I11" s="31">
        <f t="shared" si="1"/>
        <v>0</v>
      </c>
      <c r="J11" s="31">
        <f>Bilanca!I18</f>
        <v>106742920</v>
      </c>
      <c r="K11" s="31">
        <f>Bilanca!J18</f>
        <v>90354837</v>
      </c>
    </row>
    <row r="12" spans="1:11" ht="12.75">
      <c r="A12" s="4" t="s">
        <v>2357</v>
      </c>
      <c r="B12" s="29" t="str">
        <f>TRIM(RefStr!C33)</f>
        <v>Ul. 151. samoborske brigade HV 2</v>
      </c>
      <c r="D12" s="4" t="s">
        <v>1521</v>
      </c>
      <c r="E12" s="4">
        <v>1</v>
      </c>
      <c r="F12" s="4">
        <f>Bilanca!G19</f>
        <v>11</v>
      </c>
      <c r="G12" s="4" t="str">
        <f>IF(Bilanca!H19=0,"",Bilanca!H19)</f>
        <v>4.1.1.</v>
      </c>
      <c r="H12" s="30">
        <f t="shared" si="0"/>
        <v>2787578.31</v>
      </c>
      <c r="I12" s="31">
        <f t="shared" si="1"/>
        <v>0</v>
      </c>
      <c r="J12" s="31">
        <f>Bilanca!I19</f>
        <v>8447207</v>
      </c>
      <c r="K12" s="31">
        <f>Bilanca!J19</f>
        <v>8447207</v>
      </c>
    </row>
    <row r="13" spans="1:11" ht="12.75">
      <c r="A13" s="4" t="s">
        <v>1193</v>
      </c>
      <c r="B13" s="29" t="str">
        <f>TRIM(RefStr!C35)</f>
        <v>komunalac@komunalac-samobor.hr</v>
      </c>
      <c r="D13" s="4" t="s">
        <v>1521</v>
      </c>
      <c r="E13" s="4">
        <v>1</v>
      </c>
      <c r="F13" s="4">
        <f>Bilanca!G20</f>
        <v>12</v>
      </c>
      <c r="G13" s="4" t="str">
        <f>IF(Bilanca!H20=0,"",Bilanca!H20)</f>
        <v>4.1.1.</v>
      </c>
      <c r="H13" s="30">
        <f t="shared" si="0"/>
        <v>20076541.32</v>
      </c>
      <c r="I13" s="31">
        <f t="shared" si="1"/>
        <v>0</v>
      </c>
      <c r="J13" s="31">
        <f>Bilanca!I20</f>
        <v>56825253</v>
      </c>
      <c r="K13" s="31">
        <f>Bilanca!J20</f>
        <v>55239629</v>
      </c>
    </row>
    <row r="14" spans="1:11" ht="12.75">
      <c r="A14" s="4" t="s">
        <v>1194</v>
      </c>
      <c r="B14" s="29" t="str">
        <f>TRIM(RefStr!C37)</f>
        <v>wwww.komunalac-samobor.hr</v>
      </c>
      <c r="D14" s="4" t="s">
        <v>1521</v>
      </c>
      <c r="E14" s="4">
        <v>1</v>
      </c>
      <c r="F14" s="4">
        <f>Bilanca!G21</f>
        <v>13</v>
      </c>
      <c r="G14" s="4" t="str">
        <f>IF(Bilanca!H21=0,"",Bilanca!H21)</f>
        <v>4.1.1.</v>
      </c>
      <c r="H14" s="30">
        <f t="shared" si="0"/>
        <v>1560177.19</v>
      </c>
      <c r="I14" s="31">
        <f t="shared" si="1"/>
        <v>0</v>
      </c>
      <c r="J14" s="31">
        <f>Bilanca!I21</f>
        <v>3797297</v>
      </c>
      <c r="K14" s="31">
        <f>Bilanca!J21</f>
        <v>4102033</v>
      </c>
    </row>
    <row r="15" spans="1:11" ht="12.75">
      <c r="A15" s="4" t="s">
        <v>2360</v>
      </c>
      <c r="B15" s="29" t="str">
        <f>TEXT(RefStr!J39,"00")</f>
        <v>01</v>
      </c>
      <c r="D15" s="4" t="s">
        <v>1521</v>
      </c>
      <c r="E15" s="4">
        <v>1</v>
      </c>
      <c r="F15" s="4">
        <f>Bilanca!G22</f>
        <v>14</v>
      </c>
      <c r="G15" s="4" t="str">
        <f>IF(Bilanca!H22=0,"",Bilanca!H22)</f>
        <v>4.1.1.</v>
      </c>
      <c r="H15" s="30">
        <f t="shared" si="0"/>
        <v>5190290.42</v>
      </c>
      <c r="I15" s="31">
        <f t="shared" si="1"/>
        <v>0</v>
      </c>
      <c r="J15" s="31">
        <f>Bilanca!I22</f>
        <v>13833989</v>
      </c>
      <c r="K15" s="31">
        <f>Bilanca!J22</f>
        <v>11619757</v>
      </c>
    </row>
    <row r="16" spans="1:11" ht="12.75">
      <c r="A16" s="4" t="s">
        <v>2359</v>
      </c>
      <c r="B16" s="29" t="str">
        <f>TEXT(RefStr!C39,"000")</f>
        <v>380</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t="str">
        <f>IF(Bilanca!H25=0,"",Bilanca!H25)</f>
        <v>4.1.1.</v>
      </c>
      <c r="H18" s="30">
        <f t="shared" si="0"/>
        <v>7652429.9799999995</v>
      </c>
      <c r="I18" s="31">
        <f t="shared" si="1"/>
        <v>0</v>
      </c>
      <c r="J18" s="31">
        <f>Bilanca!I25</f>
        <v>23596108</v>
      </c>
      <c r="K18" s="31">
        <f>Bilanca!J25</f>
        <v>10709093</v>
      </c>
    </row>
    <row r="19" spans="1:11" ht="12.75">
      <c r="A19" s="4" t="s">
        <v>1196</v>
      </c>
      <c r="B19" s="29" t="str">
        <f>IF(RefStr!I21&lt;&gt;"",RefStr!I21,"")</f>
        <v>DA</v>
      </c>
      <c r="D19" s="4" t="s">
        <v>1521</v>
      </c>
      <c r="E19" s="4">
        <v>1</v>
      </c>
      <c r="F19" s="4">
        <f>Bilanca!G26</f>
        <v>18</v>
      </c>
      <c r="G19" s="4" t="str">
        <f>IF(Bilanca!H26=0,"",Bilanca!H26)</f>
        <v>4.1.1.</v>
      </c>
      <c r="H19" s="30">
        <f t="shared" si="0"/>
        <v>129114.35999999999</v>
      </c>
      <c r="I19" s="31">
        <f t="shared" si="1"/>
        <v>0</v>
      </c>
      <c r="J19" s="31">
        <f>Bilanca!I26</f>
        <v>243066</v>
      </c>
      <c r="K19" s="31">
        <f>Bilanca!J26</f>
        <v>237118</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242</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246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240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240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t="str">
        <f>IF(Bilanca!H39=0,"",Bilanca!H39)</f>
        <v>4.1.2.</v>
      </c>
      <c r="H32" s="30">
        <f t="shared" si="0"/>
        <v>696220.94</v>
      </c>
      <c r="I32" s="31">
        <f t="shared" si="1"/>
        <v>0</v>
      </c>
      <c r="J32" s="31">
        <f>Bilanca!I39</f>
        <v>858432</v>
      </c>
      <c r="K32" s="31">
        <f>Bilanca!J39</f>
        <v>693721</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t="str">
        <f>IF(Bilanca!H43=0,"",Bilanca!H43)</f>
        <v>4.1.2.</v>
      </c>
      <c r="H36" s="30">
        <f t="shared" si="0"/>
        <v>786055.9</v>
      </c>
      <c r="I36" s="31">
        <f t="shared" si="1"/>
        <v>0</v>
      </c>
      <c r="J36" s="31">
        <f>Bilanca!I43</f>
        <v>858432</v>
      </c>
      <c r="K36" s="31">
        <f>Bilanca!J43</f>
        <v>693721</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t="str">
        <f>IF(Bilanca!H45=0,"",Bilanca!H45)</f>
        <v>4.2.</v>
      </c>
      <c r="H38" s="30">
        <f t="shared" si="0"/>
        <v>41033697.82</v>
      </c>
      <c r="I38" s="31">
        <f t="shared" si="1"/>
        <v>0</v>
      </c>
      <c r="J38" s="31">
        <f>Bilanca!I45</f>
        <v>35475132</v>
      </c>
      <c r="K38" s="31">
        <f>Bilanca!J45</f>
        <v>37713377</v>
      </c>
    </row>
    <row r="39" spans="1:11" ht="12.75">
      <c r="A39" s="4" t="s">
        <v>1216</v>
      </c>
      <c r="B39" s="29" t="str">
        <f>RefStr!C68</f>
        <v>Ljerka Duvnjak</v>
      </c>
      <c r="D39" s="4" t="s">
        <v>1521</v>
      </c>
      <c r="E39" s="4">
        <v>1</v>
      </c>
      <c r="F39" s="4">
        <f>Bilanca!G46</f>
        <v>38</v>
      </c>
      <c r="G39" s="4" t="str">
        <f>IF(Bilanca!H46=0,"",Bilanca!H46)</f>
        <v>4.2.1.</v>
      </c>
      <c r="H39" s="30">
        <f t="shared" si="0"/>
        <v>1504509.68</v>
      </c>
      <c r="I39" s="31">
        <f t="shared" si="1"/>
        <v>0</v>
      </c>
      <c r="J39" s="31">
        <f>Bilanca!I46</f>
        <v>1576070</v>
      </c>
      <c r="K39" s="31">
        <f>Bilanca!J46</f>
        <v>1191583</v>
      </c>
    </row>
    <row r="40" spans="1:11" ht="12.75">
      <c r="A40" s="4" t="s">
        <v>1217</v>
      </c>
      <c r="B40" s="29" t="str">
        <f>TRIM(RefStr!C70)</f>
        <v>01/5554-311</v>
      </c>
      <c r="D40" s="4" t="s">
        <v>1521</v>
      </c>
      <c r="E40" s="4">
        <v>1</v>
      </c>
      <c r="F40" s="4">
        <f>Bilanca!G47</f>
        <v>39</v>
      </c>
      <c r="G40" s="4" t="str">
        <f>IF(Bilanca!H47=0,"",Bilanca!H47)</f>
        <v>4.2.1.</v>
      </c>
      <c r="H40" s="30">
        <f t="shared" si="0"/>
        <v>845400.27</v>
      </c>
      <c r="I40" s="31">
        <f t="shared" si="1"/>
        <v>0</v>
      </c>
      <c r="J40" s="31">
        <f>Bilanca!I47</f>
        <v>857753</v>
      </c>
      <c r="K40" s="31">
        <f>Bilanca!J47</f>
        <v>654970</v>
      </c>
    </row>
    <row r="41" spans="1:11" ht="12.75">
      <c r="A41" s="4" t="s">
        <v>1218</v>
      </c>
      <c r="B41" s="29" t="s">
        <v>239</v>
      </c>
      <c r="D41" s="4" t="s">
        <v>1521</v>
      </c>
      <c r="E41" s="4">
        <v>1</v>
      </c>
      <c r="F41" s="4">
        <f>Bilanca!G48</f>
        <v>40</v>
      </c>
      <c r="G41" s="4" t="str">
        <f>IF(Bilanca!H48=0,"",Bilanca!H48)</f>
        <v>4.2.1.</v>
      </c>
      <c r="H41" s="30">
        <f t="shared" si="0"/>
        <v>74594.4</v>
      </c>
      <c r="I41" s="31">
        <f t="shared" si="1"/>
        <v>0</v>
      </c>
      <c r="J41" s="31">
        <f>Bilanca!I48</f>
        <v>0</v>
      </c>
      <c r="K41" s="31">
        <f>Bilanca!J48</f>
        <v>93243</v>
      </c>
    </row>
    <row r="42" spans="1:11" ht="12.75">
      <c r="A42" s="4" t="s">
        <v>531</v>
      </c>
      <c r="B42" s="29" t="str">
        <f>TRIM(RefStr!C72)</f>
        <v>ljerrka-duvnjak@komunalac-samobor.hr</v>
      </c>
      <c r="D42" s="4" t="s">
        <v>1521</v>
      </c>
      <c r="E42" s="4">
        <v>1</v>
      </c>
      <c r="F42" s="4">
        <f>Bilanca!G49</f>
        <v>41</v>
      </c>
      <c r="G42" s="4" t="str">
        <f>IF(Bilanca!H49=0,"",Bilanca!H49)</f>
        <v>4.2.1.</v>
      </c>
      <c r="H42" s="30">
        <f t="shared" si="0"/>
        <v>534839.26</v>
      </c>
      <c r="I42" s="31">
        <f t="shared" si="1"/>
        <v>0</v>
      </c>
      <c r="J42" s="31">
        <f>Bilanca!I49</f>
        <v>633582</v>
      </c>
      <c r="K42" s="31">
        <f>Bilanca!J49</f>
        <v>335452</v>
      </c>
    </row>
    <row r="43" spans="1:11" ht="12.75">
      <c r="A43" s="4" t="s">
        <v>530</v>
      </c>
      <c r="B43" s="29" t="str">
        <f>TRIM(RefStr!A75)</f>
        <v>Ivica Karoglan, dipl. Ing. agr.</v>
      </c>
      <c r="D43" s="4" t="s">
        <v>1521</v>
      </c>
      <c r="E43" s="4">
        <v>1</v>
      </c>
      <c r="F43" s="4">
        <f>Bilanca!G50</f>
        <v>42</v>
      </c>
      <c r="G43" s="4" t="str">
        <f>IF(Bilanca!H50=0,"",Bilanca!H50)</f>
        <v>4.2.1.</v>
      </c>
      <c r="H43" s="30">
        <f t="shared" si="0"/>
        <v>126239.82</v>
      </c>
      <c r="I43" s="31">
        <f t="shared" si="1"/>
        <v>0</v>
      </c>
      <c r="J43" s="31">
        <f>Bilanca!I50</f>
        <v>84735</v>
      </c>
      <c r="K43" s="31">
        <f>Bilanca!J50</f>
        <v>107918</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t="str">
        <f>IF(Bilanca!H54=0,"",Bilanca!H54)</f>
        <v>4.2.2.</v>
      </c>
      <c r="H47" s="30">
        <f t="shared" si="2"/>
        <v>45406332.74</v>
      </c>
      <c r="I47" s="31">
        <f t="shared" si="3"/>
        <v>0</v>
      </c>
      <c r="J47" s="31">
        <f>Bilanca!I54</f>
        <v>31450431</v>
      </c>
      <c r="K47" s="31">
        <f>Bilanca!J54</f>
        <v>33629494</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DA</v>
      </c>
      <c r="D50" s="4" t="s">
        <v>1521</v>
      </c>
      <c r="E50" s="4">
        <v>1</v>
      </c>
      <c r="F50" s="4">
        <f>Bilanca!G57</f>
        <v>49</v>
      </c>
      <c r="G50" s="4" t="str">
        <f>IF(Bilanca!H57=0,"",Bilanca!H57)</f>
        <v>4.2.2.</v>
      </c>
      <c r="H50" s="30">
        <f t="shared" si="2"/>
        <v>8876315.7</v>
      </c>
      <c r="I50" s="31">
        <f t="shared" si="3"/>
        <v>0</v>
      </c>
      <c r="J50" s="31">
        <f>Bilanca!I57</f>
        <v>4743544</v>
      </c>
      <c r="K50" s="31">
        <f>Bilanca!J57</f>
        <v>6685693</v>
      </c>
    </row>
    <row r="51" spans="1:11" ht="12.75">
      <c r="A51" s="4" t="s">
        <v>288</v>
      </c>
      <c r="B51" s="29" t="str">
        <f>RefStr!I60</f>
        <v>DA</v>
      </c>
      <c r="D51" s="4" t="s">
        <v>1521</v>
      </c>
      <c r="E51" s="4">
        <v>1</v>
      </c>
      <c r="F51" s="4">
        <f>Bilanca!G58</f>
        <v>50</v>
      </c>
      <c r="G51" s="4" t="str">
        <f>IF(Bilanca!H58=0,"",Bilanca!H58)</f>
        <v>4.2.2.</v>
      </c>
      <c r="H51" s="30">
        <f t="shared" si="2"/>
        <v>3407</v>
      </c>
      <c r="I51" s="31">
        <f t="shared" si="3"/>
        <v>0</v>
      </c>
      <c r="J51" s="31">
        <f>Bilanca!I58</f>
        <v>3906</v>
      </c>
      <c r="K51" s="31">
        <f>Bilanca!J58</f>
        <v>1454</v>
      </c>
    </row>
    <row r="52" spans="1:11" ht="12.75">
      <c r="A52" s="4" t="s">
        <v>1219</v>
      </c>
      <c r="B52" s="29" t="s">
        <v>2619</v>
      </c>
      <c r="D52" s="4" t="s">
        <v>1521</v>
      </c>
      <c r="E52" s="4">
        <v>1</v>
      </c>
      <c r="F52" s="4">
        <f>Bilanca!G59</f>
        <v>51</v>
      </c>
      <c r="G52" s="4" t="str">
        <f>IF(Bilanca!H59=0,"",Bilanca!H59)</f>
        <v>4.2.2.</v>
      </c>
      <c r="H52" s="30">
        <f t="shared" si="2"/>
        <v>122497.41</v>
      </c>
      <c r="I52" s="31">
        <f t="shared" si="3"/>
        <v>0</v>
      </c>
      <c r="J52" s="31">
        <f>Bilanca!I59</f>
        <v>126993</v>
      </c>
      <c r="K52" s="31">
        <f>Bilanca!J59</f>
        <v>56599</v>
      </c>
    </row>
    <row r="53" spans="1:11" ht="12.75">
      <c r="A53" s="4" t="s">
        <v>532</v>
      </c>
      <c r="B53" s="29" t="str">
        <f>RefStr!I56</f>
        <v>DA</v>
      </c>
      <c r="D53" s="4" t="s">
        <v>1521</v>
      </c>
      <c r="E53" s="4">
        <v>1</v>
      </c>
      <c r="F53" s="4">
        <f>Bilanca!G60</f>
        <v>52</v>
      </c>
      <c r="G53" s="4" t="str">
        <f>IF(Bilanca!H60=0,"",Bilanca!H60)</f>
        <v>4.2.2.</v>
      </c>
      <c r="H53" s="30">
        <f t="shared" si="2"/>
        <v>41780691.68</v>
      </c>
      <c r="I53" s="31">
        <f t="shared" si="3"/>
        <v>0</v>
      </c>
      <c r="J53" s="31">
        <f>Bilanca!I60</f>
        <v>26575988</v>
      </c>
      <c r="K53" s="31">
        <f>Bilanca!J60</f>
        <v>26885748</v>
      </c>
    </row>
    <row r="54" spans="1:11" ht="12.75">
      <c r="A54" s="4" t="s">
        <v>533</v>
      </c>
      <c r="B54" s="29" t="str">
        <f>RefStr!I62</f>
        <v>DA</v>
      </c>
      <c r="D54" s="4" t="s">
        <v>1521</v>
      </c>
      <c r="E54" s="4">
        <v>1</v>
      </c>
      <c r="F54" s="4">
        <f>Bilanca!G61</f>
        <v>53</v>
      </c>
      <c r="G54" s="4" t="str">
        <f>IF(Bilanca!H61=0,"",Bilanca!H61)</f>
        <v>4.2.3.</v>
      </c>
      <c r="H54" s="30">
        <f t="shared" si="2"/>
        <v>230896.09</v>
      </c>
      <c r="I54" s="31">
        <f t="shared" si="3"/>
        <v>0</v>
      </c>
      <c r="J54" s="31">
        <f>Bilanca!I61</f>
        <v>183881</v>
      </c>
      <c r="K54" s="31">
        <f>Bilanca!J61</f>
        <v>125886</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5517668370.180001</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t="str">
        <f>IF(Bilanca!H69=0,"",Bilanca!H69)</f>
        <v>4.2.3.</v>
      </c>
      <c r="H62" s="30">
        <f t="shared" si="2"/>
        <v>265748.32999999996</v>
      </c>
      <c r="I62" s="31">
        <f t="shared" si="3"/>
        <v>0</v>
      </c>
      <c r="J62" s="31">
        <f>Bilanca!I69</f>
        <v>183881</v>
      </c>
      <c r="K62" s="31">
        <f>Bilanca!J69</f>
        <v>125886</v>
      </c>
    </row>
    <row r="63" spans="1:11" ht="12.75">
      <c r="A63" s="4" t="s">
        <v>777</v>
      </c>
      <c r="B63" s="29" t="str">
        <f>IF(ISNUMBER(VALUE(RefStr!L21)),TEXT(INT(VALUE(RefStr!L21)),"00000000000"),"")</f>
        <v>10858279999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t="str">
        <f>IF(Bilanca!H71=0,"",Bilanca!H71)</f>
        <v>4.2.4.</v>
      </c>
      <c r="H64" s="30">
        <f t="shared" si="2"/>
        <v>4912474.140000001</v>
      </c>
      <c r="I64" s="31">
        <f t="shared" si="3"/>
        <v>0</v>
      </c>
      <c r="J64" s="31">
        <f>Bilanca!I71</f>
        <v>2264750</v>
      </c>
      <c r="K64" s="31">
        <f>Bilanca!J71</f>
        <v>2766414</v>
      </c>
    </row>
    <row r="65" spans="1:11" ht="12.75">
      <c r="A65" s="4" t="s">
        <v>687</v>
      </c>
      <c r="B65" s="29" t="str">
        <f>RefStr!N19</f>
        <v>HSFI</v>
      </c>
      <c r="D65" s="4" t="s">
        <v>1521</v>
      </c>
      <c r="E65" s="4">
        <v>1</v>
      </c>
      <c r="F65" s="4">
        <f>Bilanca!G72</f>
        <v>64</v>
      </c>
      <c r="G65" s="4" t="str">
        <f>IF(Bilanca!H72=0,"",Bilanca!H72)</f>
        <v>4.3.</v>
      </c>
      <c r="H65" s="30">
        <f t="shared" si="2"/>
        <v>4812.8</v>
      </c>
      <c r="I65" s="31">
        <f t="shared" si="3"/>
        <v>0</v>
      </c>
      <c r="J65" s="31">
        <f>Bilanca!I72</f>
        <v>2636</v>
      </c>
      <c r="K65" s="31">
        <f>Bilanca!J72</f>
        <v>2442</v>
      </c>
    </row>
    <row r="66" spans="1:11" ht="12.75">
      <c r="A66" s="4" t="s">
        <v>688</v>
      </c>
      <c r="B66" s="29">
        <f>RefStr!C23</f>
        <v>1</v>
      </c>
      <c r="D66" s="4" t="s">
        <v>1521</v>
      </c>
      <c r="E66" s="4">
        <v>1</v>
      </c>
      <c r="F66" s="4">
        <f>Bilanca!G73</f>
        <v>65</v>
      </c>
      <c r="G66" s="4">
        <f>IF(Bilanca!H73=0,"",Bilanca!H73)</f>
      </c>
      <c r="H66" s="30">
        <f t="shared" si="2"/>
        <v>260682234.8</v>
      </c>
      <c r="I66" s="31">
        <f t="shared" si="3"/>
        <v>0</v>
      </c>
      <c r="J66" s="31">
        <f>Bilanca!I73</f>
        <v>143166508</v>
      </c>
      <c r="K66" s="31">
        <f>Bilanca!J73</f>
        <v>128941542</v>
      </c>
    </row>
    <row r="67" spans="1:11" ht="12.75">
      <c r="A67" s="4" t="s">
        <v>689</v>
      </c>
      <c r="B67" s="29" t="str">
        <f>RefStr!L35</f>
        <v>01/5554-300</v>
      </c>
      <c r="D67" s="4" t="s">
        <v>1521</v>
      </c>
      <c r="E67" s="4">
        <v>1</v>
      </c>
      <c r="F67" s="4">
        <f>Bilanca!G74</f>
        <v>66</v>
      </c>
      <c r="G67" s="4" t="str">
        <f>IF(Bilanca!H74=0,"",Bilanca!H74)</f>
        <v>4.9</v>
      </c>
      <c r="H67" s="30">
        <f t="shared" si="2"/>
        <v>180422595.54</v>
      </c>
      <c r="I67" s="31">
        <f t="shared" si="3"/>
        <v>0</v>
      </c>
      <c r="J67" s="31">
        <f>Bilanca!I74</f>
        <v>94654971</v>
      </c>
      <c r="K67" s="31">
        <f>Bilanca!J74</f>
        <v>89356299</v>
      </c>
    </row>
    <row r="68" spans="1:11" ht="12.75">
      <c r="A68" s="4" t="s">
        <v>690</v>
      </c>
      <c r="B68" s="29">
        <f>RefStr!C44</f>
        <v>1</v>
      </c>
      <c r="D68" s="4" t="s">
        <v>1521</v>
      </c>
      <c r="E68" s="4">
        <v>1</v>
      </c>
      <c r="F68" s="4">
        <f>Bilanca!G76</f>
        <v>67</v>
      </c>
      <c r="G68" s="4" t="str">
        <f>IF(Bilanca!H76=0,"",Bilanca!H76)</f>
        <v>4.4.</v>
      </c>
      <c r="H68" s="30">
        <f t="shared" si="2"/>
        <v>107786271.44000001</v>
      </c>
      <c r="I68" s="31">
        <f t="shared" si="3"/>
        <v>0</v>
      </c>
      <c r="J68" s="31">
        <f>Bilanca!I76</f>
        <v>51571378</v>
      </c>
      <c r="K68" s="31">
        <f>Bilanca!J76</f>
        <v>54651827</v>
      </c>
    </row>
    <row r="69" spans="1:11" ht="12.75">
      <c r="A69" s="4" t="s">
        <v>691</v>
      </c>
      <c r="B69" s="29">
        <f>RefStr!M46</f>
        <v>0</v>
      </c>
      <c r="D69" s="4" t="s">
        <v>1521</v>
      </c>
      <c r="E69" s="4">
        <v>1</v>
      </c>
      <c r="F69" s="4">
        <f>Bilanca!G77</f>
        <v>68</v>
      </c>
      <c r="G69" s="4" t="str">
        <f>IF(Bilanca!H77=0,"",Bilanca!H77)</f>
        <v>4.4.</v>
      </c>
      <c r="H69" s="30">
        <f t="shared" si="2"/>
        <v>121219656</v>
      </c>
      <c r="I69" s="31">
        <f t="shared" si="3"/>
        <v>0</v>
      </c>
      <c r="J69" s="31">
        <f>Bilanca!I77</f>
        <v>57421400</v>
      </c>
      <c r="K69" s="31">
        <f>Bilanca!J77</f>
        <v>60421400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t="str">
        <f>IF(Bilanca!H79=0,"",Bilanca!H79)</f>
        <v>4.4.</v>
      </c>
      <c r="H71" s="30">
        <f t="shared" si="2"/>
        <v>1515341.1</v>
      </c>
      <c r="I71" s="31">
        <f t="shared" si="3"/>
        <v>0</v>
      </c>
      <c r="J71" s="31">
        <f>Bilanca!I79</f>
        <v>721591</v>
      </c>
      <c r="K71" s="31">
        <f>Bilanca!J79</f>
        <v>721591</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t="str">
        <f>IF(Bilanca!H84=0,"",Bilanca!H84)</f>
        <v>4.4.</v>
      </c>
      <c r="H76" s="30">
        <f t="shared" si="2"/>
        <v>1623579.75</v>
      </c>
      <c r="I76" s="31">
        <f t="shared" si="3"/>
        <v>0</v>
      </c>
      <c r="J76" s="31">
        <f>Bilanca!I84</f>
        <v>721591</v>
      </c>
      <c r="K76" s="31">
        <f>Bilanca!J84</f>
        <v>721591</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t="str">
        <f>IF(Bilanca!H90=0,"",Bilanca!H90)</f>
        <v>4.4.</v>
      </c>
      <c r="H82" s="30">
        <f t="shared" si="2"/>
        <v>-16038548.370000001</v>
      </c>
      <c r="I82" s="31">
        <f t="shared" si="3"/>
        <v>0</v>
      </c>
      <c r="J82" s="31">
        <f>Bilanca!I90</f>
        <v>-6657451</v>
      </c>
      <c r="K82" s="31">
        <f>Bilanca!J90</f>
        <v>-6571613</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t="str">
        <f>IF(Bilanca!H92=0,"",Bilanca!H92)</f>
        <v>4.4.</v>
      </c>
      <c r="H84" s="30">
        <f t="shared" si="2"/>
        <v>16434561.91</v>
      </c>
      <c r="I84" s="31">
        <f t="shared" si="3"/>
        <v>0</v>
      </c>
      <c r="J84" s="31">
        <f>Bilanca!I92</f>
        <v>6657451</v>
      </c>
      <c r="K84" s="31">
        <f>Bilanca!J92</f>
        <v>6571613</v>
      </c>
    </row>
    <row r="85" spans="4:11" ht="12.75">
      <c r="D85" s="4" t="s">
        <v>1521</v>
      </c>
      <c r="E85" s="4">
        <v>1</v>
      </c>
      <c r="F85" s="4">
        <f>Bilanca!G93</f>
        <v>84</v>
      </c>
      <c r="G85" s="4" t="str">
        <f>IF(Bilanca!H93=0,"",Bilanca!H93)</f>
        <v>4.4.</v>
      </c>
      <c r="H85" s="30">
        <f>J85/100*F85+2*K85/100*F85</f>
        <v>207258.24</v>
      </c>
      <c r="I85" s="31">
        <f>ABS(ROUND(J85,0)-J85)+ABS(ROUND(K85,0)-K85)</f>
        <v>0</v>
      </c>
      <c r="J85" s="31">
        <f>Bilanca!I93</f>
        <v>85838</v>
      </c>
      <c r="K85" s="31">
        <f>Bilanca!J93</f>
        <v>80449</v>
      </c>
    </row>
    <row r="86" spans="4:11" ht="12.75">
      <c r="D86" s="4" t="s">
        <v>1521</v>
      </c>
      <c r="E86" s="4">
        <v>1</v>
      </c>
      <c r="F86" s="4">
        <f>Bilanca!G94</f>
        <v>85</v>
      </c>
      <c r="G86" s="4" t="str">
        <f>IF(Bilanca!H94=0,"",Bilanca!H94)</f>
        <v>4.4.</v>
      </c>
      <c r="H86" s="30">
        <f>J86/100*F86+2*K86/100*F86</f>
        <v>209725.59999999998</v>
      </c>
      <c r="I86" s="31">
        <f>ABS(ROUND(J86,0)-J86)+ABS(ROUND(K86,0)-K86)</f>
        <v>0</v>
      </c>
      <c r="J86" s="31">
        <f>Bilanca!I94</f>
        <v>85838</v>
      </c>
      <c r="K86" s="31">
        <f>Bilanca!J94</f>
        <v>80449</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t="str">
        <f>IF(Bilanca!H97=0,"",Bilanca!H97)</f>
        <v>4.5.</v>
      </c>
      <c r="H89" s="30">
        <f t="shared" si="4"/>
        <v>1246621.2000000002</v>
      </c>
      <c r="I89" s="31">
        <f t="shared" si="5"/>
        <v>0</v>
      </c>
      <c r="J89" s="31">
        <f>Bilanca!I97</f>
        <v>293155</v>
      </c>
      <c r="K89" s="31">
        <f>Bilanca!J97</f>
        <v>561730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t="str">
        <f>IF(Bilanca!H100=0,"",Bilanca!H100)</f>
        <v>4.5.</v>
      </c>
      <c r="H92" s="30">
        <f t="shared" si="4"/>
        <v>1289119.65</v>
      </c>
      <c r="I92" s="31">
        <f t="shared" si="5"/>
        <v>0</v>
      </c>
      <c r="J92" s="31">
        <f>Bilanca!I100</f>
        <v>293155</v>
      </c>
      <c r="K92" s="31">
        <f>Bilanca!J100</f>
        <v>561730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t="str">
        <f>IF(Bilanca!H104=0,"",Bilanca!H104)</f>
        <v>4.6.</v>
      </c>
      <c r="H96" s="30">
        <f t="shared" si="4"/>
        <v>58302710.3</v>
      </c>
      <c r="I96" s="31">
        <f t="shared" si="5"/>
        <v>0</v>
      </c>
      <c r="J96" s="31">
        <f>Bilanca!I104</f>
        <v>22969096</v>
      </c>
      <c r="K96" s="31">
        <f>Bilanca!J104</f>
        <v>19201089</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t="str">
        <f>IF(Bilanca!H110=0,"",Bilanca!H110)</f>
        <v>4.6.</v>
      </c>
      <c r="H102" s="30">
        <f t="shared" si="4"/>
        <v>61794528.010000005</v>
      </c>
      <c r="I102" s="31">
        <f t="shared" si="5"/>
        <v>0</v>
      </c>
      <c r="J102" s="31">
        <f>Bilanca!I110</f>
        <v>22904277</v>
      </c>
      <c r="K102" s="31">
        <f>Bilanca!J110</f>
        <v>19139212</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t="str">
        <f>IF(Bilanca!H114=0,"",Bilanca!H114)</f>
        <v>4.6.</v>
      </c>
      <c r="H106" s="30">
        <f t="shared" si="4"/>
        <v>198001.65000000002</v>
      </c>
      <c r="I106" s="31">
        <f t="shared" si="5"/>
        <v>0</v>
      </c>
      <c r="J106" s="31">
        <f>Bilanca!I114</f>
        <v>64819</v>
      </c>
      <c r="K106" s="31">
        <f>Bilanca!J114</f>
        <v>61877</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t="str">
        <f>IF(Bilanca!H116=0,"",Bilanca!H116)</f>
        <v>4.7.</v>
      </c>
      <c r="H108" s="30">
        <f t="shared" si="4"/>
        <v>134997620</v>
      </c>
      <c r="I108" s="31">
        <f t="shared" si="5"/>
        <v>0</v>
      </c>
      <c r="J108" s="31">
        <f>Bilanca!I116</f>
        <v>42822528</v>
      </c>
      <c r="K108" s="31">
        <f>Bilanca!J116</f>
        <v>41671736</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t="str">
        <f>IF(Bilanca!H121=0,"",Bilanca!H121)</f>
        <v>4.7.</v>
      </c>
      <c r="H113" s="30">
        <f t="shared" si="4"/>
        <v>526217.4400000001</v>
      </c>
      <c r="I113" s="31">
        <f t="shared" si="5"/>
        <v>0</v>
      </c>
      <c r="J113" s="31">
        <f>Bilanca!I121</f>
        <v>135357</v>
      </c>
      <c r="K113" s="31">
        <f>Bilanca!J121</f>
        <v>167240</v>
      </c>
    </row>
    <row r="114" spans="4:11" ht="12.75">
      <c r="D114" s="4" t="s">
        <v>1521</v>
      </c>
      <c r="E114" s="4">
        <v>1</v>
      </c>
      <c r="F114" s="4">
        <f>Bilanca!G122</f>
        <v>113</v>
      </c>
      <c r="G114" s="4" t="str">
        <f>IF(Bilanca!H122=0,"",Bilanca!H122)</f>
        <v>4.7.</v>
      </c>
      <c r="H114" s="30">
        <f t="shared" si="4"/>
        <v>27697182.53</v>
      </c>
      <c r="I114" s="31">
        <f t="shared" si="5"/>
        <v>0</v>
      </c>
      <c r="J114" s="31">
        <f>Bilanca!I122</f>
        <v>8062343</v>
      </c>
      <c r="K114" s="31">
        <f>Bilanca!J122</f>
        <v>8224219</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t="str">
        <f>IF(Bilanca!H124=0,"",Bilanca!H124)</f>
        <v>4.7.</v>
      </c>
      <c r="H116" s="30">
        <f t="shared" si="4"/>
        <v>15753450.95</v>
      </c>
      <c r="I116" s="31">
        <f t="shared" si="5"/>
        <v>0</v>
      </c>
      <c r="J116" s="31">
        <f>Bilanca!I124</f>
        <v>5341599</v>
      </c>
      <c r="K116" s="31">
        <f>Bilanca!J124</f>
        <v>4178527</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t="str">
        <f>IF(Bilanca!H126=0,"",Bilanca!H126)</f>
        <v>4.7.</v>
      </c>
      <c r="H118" s="30">
        <f t="shared" si="4"/>
        <v>7339050.8100000005</v>
      </c>
      <c r="I118" s="31">
        <f t="shared" si="5"/>
        <v>0</v>
      </c>
      <c r="J118" s="31">
        <f>Bilanca!I126</f>
        <v>1991619</v>
      </c>
      <c r="K118" s="31">
        <f>Bilanca!J126</f>
        <v>2140537</v>
      </c>
    </row>
    <row r="119" spans="4:11" ht="12.75">
      <c r="D119" s="4" t="s">
        <v>1521</v>
      </c>
      <c r="E119" s="4">
        <v>1</v>
      </c>
      <c r="F119" s="4">
        <f>Bilanca!G127</f>
        <v>118</v>
      </c>
      <c r="G119" s="4" t="str">
        <f>IF(Bilanca!H127=0,"",Bilanca!H127)</f>
        <v>4.7.</v>
      </c>
      <c r="H119" s="30">
        <f t="shared" si="4"/>
        <v>1805513.28</v>
      </c>
      <c r="I119" s="31">
        <f t="shared" si="5"/>
        <v>0</v>
      </c>
      <c r="J119" s="31">
        <f>Bilanca!I127</f>
        <v>650646</v>
      </c>
      <c r="K119" s="31">
        <f>Bilanca!J127</f>
        <v>439725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t="str">
        <f>IF(Bilanca!H130=0,"",Bilanca!H130)</f>
        <v>4.7.</v>
      </c>
      <c r="H122" s="30">
        <f t="shared" si="4"/>
        <v>96417567.4</v>
      </c>
      <c r="I122" s="31">
        <f t="shared" si="5"/>
        <v>0</v>
      </c>
      <c r="J122" s="31">
        <f>Bilanca!I130</f>
        <v>26640964</v>
      </c>
      <c r="K122" s="31">
        <f>Bilanca!J130</f>
        <v>26521488</v>
      </c>
    </row>
    <row r="123" spans="4:11" ht="12.75">
      <c r="D123" s="4" t="s">
        <v>1521</v>
      </c>
      <c r="E123" s="4">
        <v>1</v>
      </c>
      <c r="F123" s="4">
        <f>Bilanca!G131</f>
        <v>122</v>
      </c>
      <c r="G123" s="4" t="str">
        <f>IF(Bilanca!H131=0,"",Bilanca!H131)</f>
        <v>4.8.</v>
      </c>
      <c r="H123" s="30">
        <f t="shared" si="4"/>
        <v>62489218.620000005</v>
      </c>
      <c r="I123" s="31">
        <f t="shared" si="5"/>
        <v>0</v>
      </c>
      <c r="J123" s="31">
        <f>Bilanca!I131</f>
        <v>25510351</v>
      </c>
      <c r="K123" s="31">
        <f>Bilanca!J131</f>
        <v>12855160</v>
      </c>
    </row>
    <row r="124" spans="4:11" ht="12.75">
      <c r="D124" s="4" t="s">
        <v>1521</v>
      </c>
      <c r="E124" s="4">
        <v>1</v>
      </c>
      <c r="F124" s="4">
        <f>Bilanca!G132</f>
        <v>123</v>
      </c>
      <c r="G124" s="4">
        <f>IF(Bilanca!H132=0,"",Bilanca!H132)</f>
      </c>
      <c r="H124" s="30">
        <f t="shared" si="4"/>
        <v>493290998.15999997</v>
      </c>
      <c r="I124" s="31">
        <f t="shared" si="5"/>
        <v>0</v>
      </c>
      <c r="J124" s="31">
        <f>Bilanca!I132</f>
        <v>143166508</v>
      </c>
      <c r="K124" s="31">
        <f>Bilanca!J132</f>
        <v>128941542</v>
      </c>
    </row>
    <row r="125" spans="4:11" ht="12.75">
      <c r="D125" s="4" t="s">
        <v>1521</v>
      </c>
      <c r="E125" s="4">
        <v>1</v>
      </c>
      <c r="F125" s="4">
        <f>Bilanca!G133</f>
        <v>124</v>
      </c>
      <c r="G125" s="4" t="str">
        <f>IF(Bilanca!H133=0,"",Bilanca!H133)</f>
        <v>4.9.</v>
      </c>
      <c r="H125" s="30">
        <f t="shared" si="4"/>
        <v>338975785.56</v>
      </c>
      <c r="I125" s="31">
        <f t="shared" si="5"/>
        <v>0</v>
      </c>
      <c r="J125" s="31">
        <f>Bilanca!I133</f>
        <v>94654971</v>
      </c>
      <c r="K125" s="31">
        <f>Bilanca!J133</f>
        <v>89356299</v>
      </c>
    </row>
    <row r="126" spans="4:11" ht="12.75">
      <c r="D126" s="4" t="s">
        <v>541</v>
      </c>
      <c r="E126" s="4">
        <v>2</v>
      </c>
      <c r="F126" s="4">
        <f>RDG!G8</f>
        <v>125</v>
      </c>
      <c r="G126" s="4" t="str">
        <f>IF(RDG!H8=0,"",RDG!H8)</f>
        <v>4.10.1.</v>
      </c>
      <c r="H126" s="30">
        <f t="shared" si="4"/>
        <v>235453991.25</v>
      </c>
      <c r="I126" s="4">
        <f t="shared" si="5"/>
        <v>0</v>
      </c>
      <c r="J126" s="31">
        <f>RDG!I8</f>
        <v>62667037</v>
      </c>
      <c r="K126" s="31">
        <f>RDG!J8</f>
        <v>62848078</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t="str">
        <f>IF(RDG!H10=0,"",RDG!H10)</f>
        <v>4.10.1.</v>
      </c>
      <c r="H128" s="30">
        <f aca="true" t="shared" si="6" ref="H128:H190">J128/100*F128+2*K128/100*F128</f>
        <v>232500581.48000002</v>
      </c>
      <c r="I128" s="4">
        <f aca="true" t="shared" si="7" ref="I128:I190">ABS(ROUND(J128,0)-J128)+ABS(ROUND(K128,0)-K128)</f>
        <v>0</v>
      </c>
      <c r="J128" s="31">
        <f>RDG!I10</f>
        <v>60873764</v>
      </c>
      <c r="K128" s="31">
        <f>RDG!J10</f>
        <v>61098780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t="str">
        <f>IF(RDG!H13=0,"",RDG!H13)</f>
        <v>4.10.1.</v>
      </c>
      <c r="H131" s="30">
        <f t="shared" si="6"/>
        <v>6879429.699999999</v>
      </c>
      <c r="I131" s="4">
        <f t="shared" si="7"/>
        <v>0</v>
      </c>
      <c r="J131" s="31">
        <f>RDG!I13</f>
        <v>1793273</v>
      </c>
      <c r="K131" s="31">
        <f>RDG!J13</f>
        <v>1749298</v>
      </c>
    </row>
    <row r="132" spans="4:11" ht="12.75">
      <c r="D132" s="4" t="s">
        <v>541</v>
      </c>
      <c r="E132" s="4">
        <v>2</v>
      </c>
      <c r="F132" s="4">
        <f>RDG!G14</f>
        <v>131</v>
      </c>
      <c r="G132" s="4" t="str">
        <f>IF(RDG!H14=0,"",RDG!H14)</f>
        <v>4.10.2.</v>
      </c>
      <c r="H132" s="30">
        <f t="shared" si="6"/>
        <v>244070881.5</v>
      </c>
      <c r="I132" s="4">
        <f t="shared" si="7"/>
        <v>0</v>
      </c>
      <c r="J132" s="31">
        <f>RDG!I14</f>
        <v>61940372</v>
      </c>
      <c r="K132" s="31">
        <f>RDG!J14</f>
        <v>62186639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t="str">
        <f>IF(RDG!H16=0,"",RDG!H16)</f>
        <v>4.10.2.</v>
      </c>
      <c r="H134" s="30">
        <f t="shared" si="6"/>
        <v>100379298.81</v>
      </c>
      <c r="I134" s="4">
        <f t="shared" si="7"/>
        <v>0</v>
      </c>
      <c r="J134" s="31">
        <f>RDG!I16</f>
        <v>26338753</v>
      </c>
      <c r="K134" s="31">
        <f>RDG!J16</f>
        <v>24567202</v>
      </c>
    </row>
    <row r="135" spans="4:11" ht="12.75">
      <c r="D135" s="4" t="s">
        <v>541</v>
      </c>
      <c r="E135" s="4">
        <v>2</v>
      </c>
      <c r="F135" s="4">
        <f>RDG!G17</f>
        <v>134</v>
      </c>
      <c r="G135" s="4" t="str">
        <f>IF(RDG!H17=0,"",RDG!H17)</f>
        <v>4.10.2.</v>
      </c>
      <c r="H135" s="30">
        <f t="shared" si="6"/>
        <v>42691613.42</v>
      </c>
      <c r="I135" s="4">
        <f t="shared" si="7"/>
        <v>0</v>
      </c>
      <c r="J135" s="31">
        <f>RDG!I17</f>
        <v>11964905</v>
      </c>
      <c r="K135" s="31">
        <f>RDG!J17</f>
        <v>9947254</v>
      </c>
    </row>
    <row r="136" spans="4:11" ht="12.75">
      <c r="D136" s="4" t="s">
        <v>541</v>
      </c>
      <c r="E136" s="4">
        <v>2</v>
      </c>
      <c r="F136" s="4">
        <f>RDG!G18</f>
        <v>135</v>
      </c>
      <c r="G136" s="4" t="str">
        <f>IF(RDG!H18=0,"",RDG!H18)</f>
        <v>4.10.2.</v>
      </c>
      <c r="H136" s="30">
        <f t="shared" si="6"/>
        <v>2632011.3</v>
      </c>
      <c r="I136" s="4">
        <f t="shared" si="7"/>
        <v>0</v>
      </c>
      <c r="J136" s="31">
        <f>RDG!I18</f>
        <v>651346</v>
      </c>
      <c r="K136" s="31">
        <f>RDG!J18</f>
        <v>649146</v>
      </c>
    </row>
    <row r="137" spans="4:11" ht="12.75">
      <c r="D137" s="4" t="s">
        <v>541</v>
      </c>
      <c r="E137" s="4">
        <v>2</v>
      </c>
      <c r="F137" s="4">
        <f>RDG!G19</f>
        <v>136</v>
      </c>
      <c r="G137" s="4" t="str">
        <f>IF(RDG!H19=0,"",RDG!H19)</f>
        <v>4.10.2.</v>
      </c>
      <c r="H137" s="30">
        <f t="shared" si="6"/>
        <v>56663184.16</v>
      </c>
      <c r="I137" s="4">
        <f t="shared" si="7"/>
        <v>0</v>
      </c>
      <c r="J137" s="31">
        <f>RDG!I19</f>
        <v>13722502</v>
      </c>
      <c r="K137" s="31">
        <f>RDG!J19</f>
        <v>13970802</v>
      </c>
    </row>
    <row r="138" spans="4:11" ht="12.75">
      <c r="D138" s="4" t="s">
        <v>541</v>
      </c>
      <c r="E138" s="4">
        <v>2</v>
      </c>
      <c r="F138" s="4">
        <f>RDG!G20</f>
        <v>137</v>
      </c>
      <c r="G138" s="4" t="str">
        <f>IF(RDG!H20=0,"",RDG!H20)</f>
        <v>4.10.2.</v>
      </c>
      <c r="H138" s="30">
        <f t="shared" si="6"/>
        <v>103537056.78</v>
      </c>
      <c r="I138" s="4">
        <f t="shared" si="7"/>
        <v>0</v>
      </c>
      <c r="J138" s="31">
        <f>RDG!I20</f>
        <v>25628392</v>
      </c>
      <c r="K138" s="31">
        <f>RDG!J20</f>
        <v>24973051</v>
      </c>
    </row>
    <row r="139" spans="4:11" ht="12.75">
      <c r="D139" s="4" t="s">
        <v>541</v>
      </c>
      <c r="E139" s="4">
        <v>2</v>
      </c>
      <c r="F139" s="4">
        <f>RDG!G21</f>
        <v>138</v>
      </c>
      <c r="G139" s="4" t="str">
        <f>IF(RDG!H21=0,"",RDG!H21)</f>
        <v>4.10.2.</v>
      </c>
      <c r="H139" s="30">
        <f t="shared" si="6"/>
        <v>66565210.8</v>
      </c>
      <c r="I139" s="4">
        <f t="shared" si="7"/>
        <v>0</v>
      </c>
      <c r="J139" s="31">
        <f>RDG!I21</f>
        <v>16206682</v>
      </c>
      <c r="K139" s="31">
        <f>RDG!J21</f>
        <v>16014489</v>
      </c>
    </row>
    <row r="140" spans="4:11" ht="12.75">
      <c r="D140" s="4" t="s">
        <v>541</v>
      </c>
      <c r="E140" s="4">
        <v>2</v>
      </c>
      <c r="F140" s="4">
        <f>RDG!G22</f>
        <v>139</v>
      </c>
      <c r="G140" s="4" t="str">
        <f>IF(RDG!H22=0,"",RDG!H22)</f>
        <v>4.10.2.</v>
      </c>
      <c r="H140" s="30">
        <f t="shared" si="6"/>
        <v>22360482.419999998</v>
      </c>
      <c r="I140" s="4">
        <f t="shared" si="7"/>
        <v>0</v>
      </c>
      <c r="J140" s="31">
        <f>RDG!I22</f>
        <v>5478336</v>
      </c>
      <c r="K140" s="31">
        <f>RDG!J22</f>
        <v>5304171</v>
      </c>
    </row>
    <row r="141" spans="4:11" ht="12.75">
      <c r="D141" s="4" t="s">
        <v>541</v>
      </c>
      <c r="E141" s="4">
        <v>2</v>
      </c>
      <c r="F141" s="4">
        <f>RDG!G23</f>
        <v>140</v>
      </c>
      <c r="G141" s="4" t="str">
        <f>IF(RDG!H23=0,"",RDG!H23)</f>
        <v>4.10.2.</v>
      </c>
      <c r="H141" s="30">
        <f t="shared" si="6"/>
        <v>15753018.4</v>
      </c>
      <c r="I141" s="4">
        <f t="shared" si="7"/>
        <v>0</v>
      </c>
      <c r="J141" s="31">
        <f>RDG!I23</f>
        <v>3943374</v>
      </c>
      <c r="K141" s="31">
        <f>RDG!J23</f>
        <v>3654391</v>
      </c>
    </row>
    <row r="142" spans="4:11" ht="12.75">
      <c r="D142" s="4" t="s">
        <v>541</v>
      </c>
      <c r="E142" s="4">
        <v>2</v>
      </c>
      <c r="F142" s="4">
        <f>RDG!G24</f>
        <v>141</v>
      </c>
      <c r="G142" s="4" t="str">
        <f>IF(RDG!H24=0,"",RDG!H24)</f>
        <v>4.10.2.</v>
      </c>
      <c r="H142" s="30">
        <f t="shared" si="6"/>
        <v>23854591.5</v>
      </c>
      <c r="I142" s="4">
        <f t="shared" si="7"/>
        <v>0</v>
      </c>
      <c r="J142" s="31">
        <f>RDG!I24</f>
        <v>4513760</v>
      </c>
      <c r="K142" s="31">
        <f>RDG!J24</f>
        <v>6202195</v>
      </c>
    </row>
    <row r="143" spans="4:11" ht="12.75">
      <c r="D143" s="4" t="s">
        <v>541</v>
      </c>
      <c r="E143" s="4">
        <v>2</v>
      </c>
      <c r="F143" s="4">
        <f>RDG!G25</f>
        <v>142</v>
      </c>
      <c r="G143" s="4" t="str">
        <f>IF(RDG!H25=0,"",RDG!H25)</f>
        <v>4.10.2.</v>
      </c>
      <c r="H143" s="30">
        <f t="shared" si="6"/>
        <v>19484356.76</v>
      </c>
      <c r="I143" s="4">
        <f t="shared" si="7"/>
        <v>0</v>
      </c>
      <c r="J143" s="31">
        <f>RDG!I25</f>
        <v>3771608</v>
      </c>
      <c r="K143" s="31">
        <f>RDG!J25</f>
        <v>4974885</v>
      </c>
    </row>
    <row r="144" spans="4:11" ht="12.75">
      <c r="D144" s="4" t="s">
        <v>541</v>
      </c>
      <c r="E144" s="4">
        <v>2</v>
      </c>
      <c r="F144" s="4">
        <f>RDG!G26</f>
        <v>143</v>
      </c>
      <c r="G144" s="4" t="str">
        <f>IF(RDG!H26=0,"",RDG!H26)</f>
        <v>4.10.2.</v>
      </c>
      <c r="H144" s="30">
        <f t="shared" si="6"/>
        <v>4603008.41</v>
      </c>
      <c r="I144" s="4">
        <f t="shared" si="7"/>
        <v>0</v>
      </c>
      <c r="J144" s="31">
        <f>RDG!I26</f>
        <v>1386075</v>
      </c>
      <c r="K144" s="31">
        <f>RDG!J26</f>
        <v>916406</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t="str">
        <f>IF(RDG!H28=0,"",RDG!H28)</f>
        <v>4.10.2.</v>
      </c>
      <c r="H146" s="30">
        <f t="shared" si="6"/>
        <v>4667386.15</v>
      </c>
      <c r="I146" s="4">
        <f t="shared" si="7"/>
        <v>0</v>
      </c>
      <c r="J146" s="31">
        <f>RDG!I28</f>
        <v>1386075</v>
      </c>
      <c r="K146" s="31">
        <f>RDG!J28</f>
        <v>916406</v>
      </c>
    </row>
    <row r="147" spans="4:11" ht="12.75">
      <c r="D147" s="4" t="s">
        <v>541</v>
      </c>
      <c r="E147" s="4">
        <v>2</v>
      </c>
      <c r="F147" s="4">
        <f>RDG!G29</f>
        <v>146</v>
      </c>
      <c r="G147" s="4" t="str">
        <f>IF(RDG!H29=0,"",RDG!H29)</f>
        <v>4.10.2.</v>
      </c>
      <c r="H147" s="30">
        <f t="shared" si="6"/>
        <v>1001964.4199999999</v>
      </c>
      <c r="I147" s="4">
        <f t="shared" si="7"/>
        <v>0</v>
      </c>
      <c r="J147" s="31">
        <f>RDG!I29</f>
        <v>136883</v>
      </c>
      <c r="K147" s="31">
        <f>RDG!J29</f>
        <v>274697</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t="str">
        <f>IF(RDG!H32=0,"",RDG!H32)</f>
        <v>4.10.2.</v>
      </c>
      <c r="H150" s="30">
        <f t="shared" si="6"/>
        <v>1022552.73</v>
      </c>
      <c r="I150" s="4">
        <f t="shared" si="7"/>
        <v>0</v>
      </c>
      <c r="J150" s="31">
        <f>RDG!I32</f>
        <v>136883</v>
      </c>
      <c r="K150" s="31">
        <f>RDG!J32</f>
        <v>274697</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t="str">
        <f>IF(RDG!H36=0,"",RDG!H36)</f>
        <v>4.10.2.</v>
      </c>
      <c r="H154" s="30">
        <f t="shared" si="6"/>
        <v>1103599.71</v>
      </c>
      <c r="I154" s="4">
        <f t="shared" si="7"/>
        <v>0</v>
      </c>
      <c r="J154" s="31">
        <f>RDG!I36</f>
        <v>164901</v>
      </c>
      <c r="K154" s="31">
        <f>RDG!J36</f>
        <v>278203</v>
      </c>
    </row>
    <row r="155" spans="4:11" ht="12.75">
      <c r="D155" s="4" t="s">
        <v>541</v>
      </c>
      <c r="E155" s="4">
        <v>2</v>
      </c>
      <c r="F155" s="4">
        <f>RDG!G37</f>
        <v>154</v>
      </c>
      <c r="G155" s="4" t="str">
        <f>IF(RDG!H37=0,"",RDG!H37)</f>
        <v>4.10.1.</v>
      </c>
      <c r="H155" s="30">
        <f t="shared" si="6"/>
        <v>1068236.4</v>
      </c>
      <c r="I155" s="4">
        <f t="shared" si="7"/>
        <v>0</v>
      </c>
      <c r="J155" s="31">
        <f>RDG!I37</f>
        <v>366288</v>
      </c>
      <c r="K155" s="31">
        <f>RDG!J37</f>
        <v>163686</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t="str">
        <f>IF(RDG!H44=0,"",RDG!H44)</f>
        <v>4.10.1.</v>
      </c>
      <c r="H162" s="30">
        <f t="shared" si="6"/>
        <v>930741</v>
      </c>
      <c r="I162" s="4">
        <f t="shared" si="7"/>
        <v>0</v>
      </c>
      <c r="J162" s="31">
        <f>RDG!I44</f>
        <v>252126</v>
      </c>
      <c r="K162" s="31">
        <f>RDG!J44</f>
        <v>162987</v>
      </c>
    </row>
    <row r="163" spans="4:11" ht="12.75">
      <c r="D163" s="4" t="s">
        <v>541</v>
      </c>
      <c r="E163" s="4">
        <v>2</v>
      </c>
      <c r="F163" s="4">
        <f>RDG!G45</f>
        <v>162</v>
      </c>
      <c r="G163" s="4" t="str">
        <f>IF(RDG!H45=0,"",RDG!H45)</f>
        <v>4.10.1.</v>
      </c>
      <c r="H163" s="30">
        <f t="shared" si="6"/>
        <v>187207.19999999998</v>
      </c>
      <c r="I163" s="4">
        <f t="shared" si="7"/>
        <v>0</v>
      </c>
      <c r="J163" s="31">
        <f>RDG!I45</f>
        <v>114162</v>
      </c>
      <c r="K163" s="31">
        <f>RDG!J45</f>
        <v>699</v>
      </c>
    </row>
    <row r="164" spans="4:11" ht="12.75">
      <c r="D164" s="4" t="s">
        <v>541</v>
      </c>
      <c r="E164" s="4">
        <v>2</v>
      </c>
      <c r="F164" s="4">
        <f>RDG!G46</f>
        <v>163</v>
      </c>
      <c r="G164" s="4" t="str">
        <f>IF(RDG!H46=0,"",RDG!H46)</f>
        <v>4.10.1.</v>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t="str">
        <f>IF(RDG!H48=0,"",RDG!H48)</f>
        <v>4.10.2.</v>
      </c>
      <c r="H166" s="30">
        <f t="shared" si="6"/>
        <v>4119170.5500000003</v>
      </c>
      <c r="I166" s="4">
        <f t="shared" si="7"/>
        <v>0</v>
      </c>
      <c r="J166" s="31">
        <f>RDG!I48</f>
        <v>1007115</v>
      </c>
      <c r="K166" s="31">
        <f>RDG!J48</f>
        <v>744676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t="str">
        <f>IF(RDG!H51=0,"",RDG!H51)</f>
        <v>4.10.2.</v>
      </c>
      <c r="H169" s="30">
        <f t="shared" si="6"/>
        <v>4070875.2</v>
      </c>
      <c r="I169" s="4">
        <f t="shared" si="7"/>
        <v>0</v>
      </c>
      <c r="J169" s="31">
        <f>RDG!I51</f>
        <v>1006486</v>
      </c>
      <c r="K169" s="31">
        <f>RDG!J51</f>
        <v>708327</v>
      </c>
    </row>
    <row r="170" spans="4:11" ht="12.75">
      <c r="D170" s="4" t="s">
        <v>541</v>
      </c>
      <c r="E170" s="4">
        <v>2</v>
      </c>
      <c r="F170" s="4">
        <f>RDG!G52</f>
        <v>169</v>
      </c>
      <c r="G170" s="4" t="str">
        <f>IF(RDG!H52=0,"",RDG!H52)</f>
        <v>4.10.2.</v>
      </c>
      <c r="H170" s="30">
        <f t="shared" si="6"/>
        <v>123922.63</v>
      </c>
      <c r="I170" s="4">
        <f t="shared" si="7"/>
        <v>0</v>
      </c>
      <c r="J170" s="31">
        <f>RDG!I52</f>
        <v>629</v>
      </c>
      <c r="K170" s="31">
        <f>RDG!J52</f>
        <v>36349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t="str">
        <f>IF(RDG!H60=0,"",RDG!H60)</f>
        <v>4.10.1.</v>
      </c>
      <c r="H178" s="30">
        <f t="shared" si="6"/>
        <v>334630629.81</v>
      </c>
      <c r="I178" s="4">
        <f t="shared" si="7"/>
        <v>0</v>
      </c>
      <c r="J178" s="31">
        <f>RDG!I60</f>
        <v>63033325</v>
      </c>
      <c r="K178" s="31">
        <f>RDG!J60</f>
        <v>63011764</v>
      </c>
    </row>
    <row r="179" spans="4:11" ht="12.75">
      <c r="D179" s="4" t="s">
        <v>541</v>
      </c>
      <c r="E179" s="4">
        <v>2</v>
      </c>
      <c r="F179" s="4">
        <f>RDG!G61</f>
        <v>178</v>
      </c>
      <c r="G179" s="4" t="str">
        <f>IF(RDG!H61=0,"",RDG!H61)</f>
        <v>4.10.2.</v>
      </c>
      <c r="H179" s="30">
        <f t="shared" si="6"/>
        <v>336082008.26</v>
      </c>
      <c r="I179" s="4">
        <f t="shared" si="7"/>
        <v>0</v>
      </c>
      <c r="J179" s="31">
        <f>RDG!I61</f>
        <v>62947487</v>
      </c>
      <c r="K179" s="31">
        <f>RDG!J61</f>
        <v>62931315</v>
      </c>
    </row>
    <row r="180" spans="4:11" ht="12.75">
      <c r="D180" s="4" t="s">
        <v>541</v>
      </c>
      <c r="E180" s="4">
        <v>2</v>
      </c>
      <c r="F180" s="4">
        <f>RDG!G62</f>
        <v>179</v>
      </c>
      <c r="G180" s="4" t="str">
        <f>IF(RDG!H62=0,"",RDG!H62)</f>
        <v>4.11.</v>
      </c>
      <c r="H180" s="30">
        <f t="shared" si="6"/>
        <v>441657.43999999994</v>
      </c>
      <c r="I180" s="4">
        <f t="shared" si="7"/>
        <v>0</v>
      </c>
      <c r="J180" s="31">
        <f>RDG!I62</f>
        <v>85838</v>
      </c>
      <c r="K180" s="31">
        <f>RDG!J62</f>
        <v>80449</v>
      </c>
    </row>
    <row r="181" spans="4:11" ht="12.75">
      <c r="D181" s="4" t="s">
        <v>541</v>
      </c>
      <c r="E181" s="4">
        <v>2</v>
      </c>
      <c r="F181" s="4">
        <f>RDG!G63</f>
        <v>180</v>
      </c>
      <c r="G181" s="4" t="str">
        <f>IF(RDG!H63=0,"",RDG!H63)</f>
        <v>4.11.</v>
      </c>
      <c r="H181" s="30">
        <f t="shared" si="6"/>
        <v>444124.80000000005</v>
      </c>
      <c r="I181" s="4">
        <f t="shared" si="7"/>
        <v>0</v>
      </c>
      <c r="J181" s="31">
        <f>RDG!I63</f>
        <v>85838</v>
      </c>
      <c r="K181" s="31">
        <f>RDG!J63</f>
        <v>80449</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t="str">
        <f>IF(RDG!H66=0,"",RDG!H66)</f>
        <v>4.11.</v>
      </c>
      <c r="H184" s="30">
        <f t="shared" si="6"/>
        <v>451526.88</v>
      </c>
      <c r="I184" s="4">
        <f t="shared" si="7"/>
        <v>0</v>
      </c>
      <c r="J184" s="31">
        <f>RDG!I66</f>
        <v>85838</v>
      </c>
      <c r="K184" s="31">
        <f>RDG!J66</f>
        <v>80449</v>
      </c>
    </row>
    <row r="185" spans="4:11" ht="12.75">
      <c r="D185" s="4" t="s">
        <v>541</v>
      </c>
      <c r="E185" s="4">
        <v>2</v>
      </c>
      <c r="F185" s="4">
        <f>RDG!G67</f>
        <v>184</v>
      </c>
      <c r="G185" s="4" t="str">
        <f>IF(RDG!H67=0,"",RDG!H67)</f>
        <v>4.11.</v>
      </c>
      <c r="H185" s="30">
        <f t="shared" si="6"/>
        <v>453994.24</v>
      </c>
      <c r="I185" s="4">
        <f t="shared" si="7"/>
        <v>0</v>
      </c>
      <c r="J185" s="31">
        <f>RDG!I67</f>
        <v>85838</v>
      </c>
      <c r="K185" s="31">
        <f>RDG!J67</f>
        <v>80449</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402817407.3</v>
      </c>
      <c r="I232" s="4">
        <f t="shared" si="11"/>
        <v>0</v>
      </c>
      <c r="J232" s="31">
        <f>Dodatni!I25</f>
        <v>57810820</v>
      </c>
      <c r="K232" s="31">
        <f>Dodatni!J25</f>
        <v>58284505</v>
      </c>
    </row>
    <row r="233" spans="4:11" ht="12.75">
      <c r="D233" s="4" t="s">
        <v>1522</v>
      </c>
      <c r="E233" s="4">
        <v>3</v>
      </c>
      <c r="F233" s="4">
        <f>Dodatni!H26</f>
        <v>232</v>
      </c>
      <c r="H233" s="30">
        <f t="shared" si="10"/>
        <v>6428952</v>
      </c>
      <c r="I233" s="4">
        <f t="shared" si="11"/>
        <v>0</v>
      </c>
      <c r="J233" s="31">
        <f>Dodatni!I26</f>
        <v>932678</v>
      </c>
      <c r="K233" s="31">
        <f>Dodatni!J26</f>
        <v>919211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14208945.6</v>
      </c>
      <c r="I241" s="4">
        <f t="shared" si="11"/>
        <v>0</v>
      </c>
      <c r="J241" s="31">
        <f>Dodatni!I34</f>
        <v>2130266</v>
      </c>
      <c r="K241" s="31">
        <f>Dodatni!J34</f>
        <v>1895064</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443032604.08000004</v>
      </c>
      <c r="I243" s="4">
        <f t="shared" si="11"/>
        <v>0</v>
      </c>
      <c r="J243" s="31">
        <f>Dodatni!I37</f>
        <v>60873764</v>
      </c>
      <c r="K243" s="31">
        <f>Dodatni!J37</f>
        <v>61098780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19697983.200000003</v>
      </c>
      <c r="I253" s="4">
        <f t="shared" si="11"/>
        <v>0</v>
      </c>
      <c r="J253" s="31">
        <f>Dodatni!I50</f>
        <v>2650530</v>
      </c>
      <c r="K253" s="31">
        <f>Dodatni!J50</f>
        <v>2583065</v>
      </c>
    </row>
    <row r="254" spans="4:11" ht="12.75">
      <c r="D254" s="4" t="s">
        <v>1522</v>
      </c>
      <c r="E254" s="4">
        <v>3</v>
      </c>
      <c r="F254" s="4">
        <f>Dodatni!H51</f>
        <v>253</v>
      </c>
      <c r="H254" s="30">
        <f t="shared" si="10"/>
        <v>7.590000000000001</v>
      </c>
      <c r="I254" s="4">
        <f t="shared" si="11"/>
        <v>0</v>
      </c>
      <c r="J254" s="31">
        <f>Dodatni!I51</f>
        <v>1</v>
      </c>
      <c r="K254" s="31">
        <f>Dodatni!J51</f>
        <v>1</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753608.8099999999</v>
      </c>
      <c r="I258" s="4">
        <f t="shared" si="11"/>
        <v>0</v>
      </c>
      <c r="J258" s="31">
        <f>Dodatni!I55</f>
        <v>293233</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665806.12</v>
      </c>
      <c r="I260" s="4">
        <f t="shared" si="11"/>
        <v>0</v>
      </c>
      <c r="J260" s="31">
        <f>Dodatni!I57</f>
        <v>72914</v>
      </c>
      <c r="K260" s="31">
        <f>Dodatni!J57</f>
        <v>92077</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3294521.62</v>
      </c>
      <c r="I263" s="4">
        <f t="shared" si="11"/>
        <v>0</v>
      </c>
      <c r="J263" s="31">
        <f>Dodatni!I60</f>
        <v>387831</v>
      </c>
      <c r="K263" s="31">
        <f>Dodatni!J60</f>
        <v>434810</v>
      </c>
    </row>
    <row r="264" spans="4:11" ht="12.75">
      <c r="D264" s="4" t="s">
        <v>1522</v>
      </c>
      <c r="E264" s="4">
        <v>3</v>
      </c>
      <c r="F264" s="4">
        <f>Dodatni!H61</f>
        <v>263</v>
      </c>
      <c r="H264" s="30">
        <f t="shared" si="10"/>
        <v>3143570.62</v>
      </c>
      <c r="I264" s="4">
        <f t="shared" si="11"/>
        <v>0</v>
      </c>
      <c r="J264" s="31">
        <f>Dodatni!I61</f>
        <v>368124</v>
      </c>
      <c r="K264" s="31">
        <f>Dodatni!J61</f>
        <v>413575</v>
      </c>
    </row>
    <row r="265" spans="4:11" ht="12.75">
      <c r="D265" s="4" t="s">
        <v>1522</v>
      </c>
      <c r="E265" s="4">
        <v>3</v>
      </c>
      <c r="F265" s="4">
        <f>Dodatni!H62</f>
        <v>264</v>
      </c>
      <c r="H265" s="30">
        <f t="shared" si="10"/>
        <v>2612918.88</v>
      </c>
      <c r="I265" s="4">
        <f t="shared" si="11"/>
        <v>0</v>
      </c>
      <c r="J265" s="31">
        <f>Dodatni!I62</f>
        <v>301896</v>
      </c>
      <c r="K265" s="31">
        <f>Dodatni!J62</f>
        <v>343923</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963201.96</v>
      </c>
      <c r="I267" s="4">
        <f t="shared" si="11"/>
        <v>0</v>
      </c>
      <c r="J267" s="31">
        <f>Dodatni!I64</f>
        <v>120702</v>
      </c>
      <c r="K267" s="31">
        <f>Dodatni!J64</f>
        <v>120702</v>
      </c>
    </row>
    <row r="268" spans="4:11" ht="12.75">
      <c r="D268" s="4" t="s">
        <v>1522</v>
      </c>
      <c r="E268" s="4">
        <v>3</v>
      </c>
      <c r="F268" s="4">
        <f>Dodatni!H65</f>
        <v>267</v>
      </c>
      <c r="H268" s="30">
        <f t="shared" si="10"/>
        <v>19360551.810000002</v>
      </c>
      <c r="I268" s="4">
        <f t="shared" si="11"/>
        <v>0</v>
      </c>
      <c r="J268" s="31">
        <f>Dodatni!I65</f>
        <v>1937365</v>
      </c>
      <c r="K268" s="31">
        <f>Dodatni!J65</f>
        <v>2656889</v>
      </c>
    </row>
    <row r="269" spans="4:11" ht="12.75">
      <c r="D269" s="4" t="s">
        <v>1522</v>
      </c>
      <c r="E269" s="4">
        <v>3</v>
      </c>
      <c r="F269" s="4">
        <f>Dodatni!H66</f>
        <v>268</v>
      </c>
      <c r="H269" s="30">
        <f t="shared" si="10"/>
        <v>321600</v>
      </c>
      <c r="I269" s="4">
        <f t="shared" si="11"/>
        <v>0</v>
      </c>
      <c r="J269" s="31">
        <f>Dodatni!I66</f>
        <v>40000</v>
      </c>
      <c r="K269" s="31">
        <f>Dodatni!J66</f>
        <v>40000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1583994</v>
      </c>
      <c r="I275" s="4">
        <f aca="true" t="shared" si="13" ref="I275:I284">ABS(ROUND(J275,0)-J275)+ABS(ROUND(K275,0)-K275)</f>
        <v>0</v>
      </c>
      <c r="J275" s="31">
        <f>Dodatni!I73</f>
        <v>252126</v>
      </c>
      <c r="K275" s="31">
        <f>Dodatni!J73</f>
        <v>162987</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6694433.51</v>
      </c>
      <c r="I278" s="4">
        <f t="shared" si="13"/>
        <v>0</v>
      </c>
      <c r="J278" s="31">
        <f>Dodatni!I76</f>
        <v>1000107</v>
      </c>
      <c r="K278" s="31">
        <f>Dodatni!J76</f>
        <v>708328</v>
      </c>
    </row>
    <row r="279" spans="4:11" ht="12.75">
      <c r="D279" s="4" t="s">
        <v>1522</v>
      </c>
      <c r="E279" s="4">
        <v>3</v>
      </c>
      <c r="F279" s="4">
        <f>Dodatni!H78</f>
        <v>278</v>
      </c>
      <c r="H279" s="30">
        <f t="shared" si="12"/>
        <v>30626623.38</v>
      </c>
      <c r="I279" s="4">
        <f t="shared" si="13"/>
        <v>0</v>
      </c>
      <c r="J279" s="31">
        <f>Dodatni!I78</f>
        <v>5474897</v>
      </c>
      <c r="K279" s="31">
        <f>Dodatni!J78</f>
        <v>2770937</v>
      </c>
    </row>
    <row r="280" spans="4:11" ht="12.75">
      <c r="D280" s="4" t="s">
        <v>1522</v>
      </c>
      <c r="E280" s="4">
        <v>3</v>
      </c>
      <c r="F280" s="4">
        <f>Dodatni!H79</f>
        <v>279</v>
      </c>
      <c r="H280" s="30">
        <f t="shared" si="12"/>
        <v>1048777.74</v>
      </c>
      <c r="I280" s="4">
        <f t="shared" si="13"/>
        <v>0</v>
      </c>
      <c r="J280" s="31">
        <f>Dodatni!I79</f>
        <v>375906</v>
      </c>
      <c r="K280" s="31">
        <f>Dodatni!J79</f>
        <v>0</v>
      </c>
    </row>
    <row r="281" spans="4:11" ht="12.75">
      <c r="D281" s="4" t="s">
        <v>1522</v>
      </c>
      <c r="E281" s="4">
        <v>3</v>
      </c>
      <c r="F281" s="4">
        <f>Dodatni!H80</f>
        <v>280</v>
      </c>
      <c r="H281" s="30">
        <f t="shared" si="12"/>
        <v>10045142.8</v>
      </c>
      <c r="I281" s="4">
        <f t="shared" si="13"/>
        <v>0</v>
      </c>
      <c r="J281" s="31">
        <f>Dodatni!I80</f>
        <v>1589037</v>
      </c>
      <c r="K281" s="31">
        <f>Dodatni!J80</f>
        <v>999257</v>
      </c>
    </row>
    <row r="282" spans="4:11" ht="12.75">
      <c r="D282" s="4" t="s">
        <v>1522</v>
      </c>
      <c r="E282" s="4">
        <v>3</v>
      </c>
      <c r="F282" s="4">
        <f>Dodatni!H81</f>
        <v>281</v>
      </c>
      <c r="H282" s="30">
        <f t="shared" si="12"/>
        <v>16704410.3</v>
      </c>
      <c r="I282" s="4">
        <f t="shared" si="13"/>
        <v>0</v>
      </c>
      <c r="J282" s="31">
        <f>Dodatni!I81</f>
        <v>3462110</v>
      </c>
      <c r="K282" s="31">
        <f>Dodatni!J81</f>
        <v>1241260</v>
      </c>
    </row>
    <row r="283" spans="4:11" ht="12.75">
      <c r="D283" s="4" t="s">
        <v>1522</v>
      </c>
      <c r="E283" s="4">
        <v>3</v>
      </c>
      <c r="F283" s="4">
        <f>Dodatni!H82</f>
        <v>282</v>
      </c>
      <c r="H283" s="30">
        <f t="shared" si="12"/>
        <v>3126488.88</v>
      </c>
      <c r="I283" s="4">
        <f t="shared" si="13"/>
        <v>0</v>
      </c>
      <c r="J283" s="31">
        <f>Dodatni!I82</f>
        <v>47844</v>
      </c>
      <c r="K283" s="31">
        <f>Dodatni!J82</f>
        <v>530420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30890391.9</v>
      </c>
      <c r="I286" s="4">
        <f t="shared" si="15"/>
        <v>0</v>
      </c>
      <c r="J286" s="31">
        <f>Dodatni!I85</f>
        <v>5296860</v>
      </c>
      <c r="K286" s="31">
        <f>Dodatni!J85</f>
        <v>2770937</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t="str">
        <f>IF(NT_D!H9&lt;&gt;"",NT_D!H9,"")</f>
        <v>5.</v>
      </c>
      <c r="H339" s="30">
        <f>J339/100*F339+2*K339/100*F339</f>
        <v>2982217.9699999997</v>
      </c>
      <c r="I339" s="4">
        <f>ABS(ROUND(J339,0)-J339)+ABS(ROUND(K339,0)-K339)</f>
        <v>0</v>
      </c>
      <c r="J339" s="31">
        <f>NT_D!I9</f>
        <v>100521159</v>
      </c>
      <c r="K339" s="31">
        <f>NT_D!J9</f>
        <v>98850319</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t="str">
        <f>IF(NT_D!H11&lt;&gt;"",NT_D!H11,"")</f>
        <v>5.</v>
      </c>
      <c r="H341" s="30">
        <f aca="true" t="shared" si="20" ref="H341:H380">J341/100*F341+2*K341/100*F341</f>
        <v>4207.200000000001</v>
      </c>
      <c r="I341" s="4">
        <f aca="true" t="shared" si="21" ref="I341:I380">ABS(ROUND(J341,0)-J341)+ABS(ROUND(K341,0)-K341)</f>
        <v>0</v>
      </c>
      <c r="J341" s="31">
        <f>NT_D!I11</f>
        <v>0</v>
      </c>
      <c r="K341" s="31">
        <f>NT_D!J11</f>
        <v>70120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t="str">
        <f>IF(NT_D!H13&lt;&gt;"",NT_D!H13,"")</f>
        <v>5.</v>
      </c>
      <c r="H343" s="30">
        <f t="shared" si="20"/>
        <v>-5189683.85</v>
      </c>
      <c r="I343" s="4">
        <f t="shared" si="21"/>
        <v>0</v>
      </c>
      <c r="J343" s="31">
        <f>NT_D!I13</f>
        <v>-37333031</v>
      </c>
      <c r="K343" s="31">
        <f>NT_D!J13</f>
        <v>-33230323</v>
      </c>
    </row>
    <row r="344" spans="4:11" ht="12.75">
      <c r="D344" s="4" t="s">
        <v>1524</v>
      </c>
      <c r="E344" s="4">
        <v>5</v>
      </c>
      <c r="F344" s="32">
        <f>NT_D!G14</f>
        <v>6</v>
      </c>
      <c r="G344" s="32" t="str">
        <f>IF(NT_D!H14&lt;&gt;"",NT_D!H14,"")</f>
        <v>5.</v>
      </c>
      <c r="H344" s="30">
        <f t="shared" si="20"/>
        <v>-5078977.859999999</v>
      </c>
      <c r="I344" s="4">
        <f t="shared" si="21"/>
        <v>0</v>
      </c>
      <c r="J344" s="31">
        <f>NT_D!I14</f>
        <v>-28254035</v>
      </c>
      <c r="K344" s="31">
        <f>NT_D!J14</f>
        <v>-28197798</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t="str">
        <f>IF(NT_D!H16&lt;&gt;"",NT_D!H16,"")</f>
        <v>5.</v>
      </c>
      <c r="H346" s="30">
        <f t="shared" si="20"/>
        <v>-7941848.8</v>
      </c>
      <c r="I346" s="4">
        <f t="shared" si="21"/>
        <v>0</v>
      </c>
      <c r="J346" s="31">
        <f>NT_D!I16</f>
        <v>-31483050</v>
      </c>
      <c r="K346" s="31">
        <f>NT_D!J16</f>
        <v>-33895030</v>
      </c>
    </row>
    <row r="347" spans="4:11" ht="12.75">
      <c r="D347" s="4" t="s">
        <v>1524</v>
      </c>
      <c r="E347" s="4">
        <v>5</v>
      </c>
      <c r="F347" s="32">
        <f>NT_D!G17</f>
        <v>9</v>
      </c>
      <c r="G347" s="32" t="str">
        <f>IF(NT_D!H17&lt;&gt;"",NT_D!H17,"")</f>
        <v>5.</v>
      </c>
      <c r="H347" s="30">
        <f t="shared" si="20"/>
        <v>958105.71</v>
      </c>
      <c r="I347" s="4">
        <f t="shared" si="21"/>
        <v>0</v>
      </c>
      <c r="J347" s="31">
        <f>NT_D!I17</f>
        <v>3451043</v>
      </c>
      <c r="K347" s="31">
        <f>NT_D!J17</f>
        <v>3597288</v>
      </c>
    </row>
    <row r="348" spans="4:11" ht="12.75">
      <c r="D348" s="4" t="s">
        <v>1524</v>
      </c>
      <c r="E348" s="4">
        <v>5</v>
      </c>
      <c r="F348" s="32">
        <f>NT_D!G18</f>
        <v>10</v>
      </c>
      <c r="G348" s="32" t="str">
        <f>IF(NT_D!H18&lt;&gt;"",NT_D!H18,"")</f>
        <v>5.</v>
      </c>
      <c r="H348" s="30">
        <f t="shared" si="20"/>
        <v>-147837.8</v>
      </c>
      <c r="I348" s="4">
        <f t="shared" si="21"/>
        <v>0</v>
      </c>
      <c r="J348" s="31">
        <f>NT_D!I18</f>
        <v>-706668</v>
      </c>
      <c r="K348" s="31">
        <f>NT_D!J18</f>
        <v>-385855</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t="str">
        <f>IF(NT_D!H20&lt;&gt;"",NT_D!H20,"")</f>
        <v>5.</v>
      </c>
      <c r="H350" s="30">
        <f t="shared" si="20"/>
        <v>1100068.92</v>
      </c>
      <c r="I350" s="4">
        <f t="shared" si="21"/>
        <v>0</v>
      </c>
      <c r="J350" s="31">
        <f>NT_D!I20</f>
        <v>2744375</v>
      </c>
      <c r="K350" s="31">
        <f>NT_D!J20</f>
        <v>3211433</v>
      </c>
    </row>
    <row r="351" spans="4:11" ht="12.75">
      <c r="D351" s="4" t="s">
        <v>1524</v>
      </c>
      <c r="E351" s="4">
        <v>5</v>
      </c>
      <c r="F351" s="32">
        <f>NT_D!G22</f>
        <v>13</v>
      </c>
      <c r="G351" s="32" t="str">
        <f>IF(NT_D!H22&lt;&gt;"",NT_D!H22,"")</f>
        <v>5.</v>
      </c>
      <c r="H351" s="30">
        <f t="shared" si="20"/>
        <v>1869.3999999999999</v>
      </c>
      <c r="I351" s="4">
        <f t="shared" si="21"/>
        <v>0</v>
      </c>
      <c r="J351" s="31">
        <f>NT_D!I22</f>
        <v>4956</v>
      </c>
      <c r="K351" s="31">
        <f>NT_D!J22</f>
        <v>4712</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t="str">
        <f>IF(NT_D!H26&lt;&gt;"",NT_D!H26,"")</f>
        <v>5.</v>
      </c>
      <c r="H355" s="30">
        <f t="shared" si="20"/>
        <v>30844.629999999997</v>
      </c>
      <c r="I355" s="4">
        <f t="shared" si="21"/>
        <v>0</v>
      </c>
      <c r="J355" s="31">
        <f>NT_D!I26</f>
        <v>83911</v>
      </c>
      <c r="K355" s="31">
        <f>NT_D!J26</f>
        <v>48764</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t="str">
        <f>IF(NT_D!H28&lt;&gt;"",NT_D!H28,"")</f>
        <v>5.</v>
      </c>
      <c r="H357" s="30">
        <f t="shared" si="20"/>
        <v>37205.61</v>
      </c>
      <c r="I357" s="4">
        <f t="shared" si="21"/>
        <v>0</v>
      </c>
      <c r="J357" s="31">
        <f>NT_D!I28</f>
        <v>88867</v>
      </c>
      <c r="K357" s="31">
        <f>NT_D!J28</f>
        <v>53476</v>
      </c>
    </row>
    <row r="358" spans="4:11" ht="12.75">
      <c r="D358" s="4" t="s">
        <v>1524</v>
      </c>
      <c r="E358" s="4">
        <v>5</v>
      </c>
      <c r="F358" s="32">
        <f>NT_D!G29</f>
        <v>20</v>
      </c>
      <c r="G358" s="32" t="str">
        <f>IF(NT_D!H29&lt;&gt;"",NT_D!H29,"")</f>
        <v>5.</v>
      </c>
      <c r="H358" s="30">
        <f t="shared" si="20"/>
        <v>-90463.4</v>
      </c>
      <c r="I358" s="4">
        <f t="shared" si="21"/>
        <v>0</v>
      </c>
      <c r="J358" s="31">
        <f>NT_D!I29</f>
        <v>-132861</v>
      </c>
      <c r="K358" s="31">
        <f>NT_D!J29</f>
        <v>-159728</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t="str">
        <f>IF(NT_D!H31&lt;&gt;"",NT_D!H31,"")</f>
        <v>5.</v>
      </c>
      <c r="H360" s="30">
        <f t="shared" si="20"/>
        <v>-11072.6</v>
      </c>
      <c r="I360" s="4">
        <f t="shared" si="21"/>
        <v>0</v>
      </c>
      <c r="J360" s="31">
        <f>NT_D!I31</f>
        <v>-50330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-9408</v>
      </c>
      <c r="I362" s="4">
        <f t="shared" si="21"/>
        <v>0</v>
      </c>
      <c r="J362" s="31">
        <f>NT_D!I33</f>
        <v>-39200</v>
      </c>
      <c r="K362" s="31">
        <f>NT_D!J33</f>
        <v>0</v>
      </c>
    </row>
    <row r="363" spans="4:11" ht="12.75">
      <c r="D363" s="4" t="s">
        <v>1524</v>
      </c>
      <c r="E363" s="4">
        <v>5</v>
      </c>
      <c r="F363" s="32">
        <f>NT_D!G34</f>
        <v>25</v>
      </c>
      <c r="G363" s="32" t="str">
        <f>IF(NT_D!H34&lt;&gt;"",NT_D!H34,"")</f>
        <v>5.</v>
      </c>
      <c r="H363" s="30">
        <f t="shared" si="20"/>
        <v>-135461.75</v>
      </c>
      <c r="I363" s="4">
        <f t="shared" si="21"/>
        <v>0</v>
      </c>
      <c r="J363" s="31">
        <f>NT_D!I34</f>
        <v>-222391</v>
      </c>
      <c r="K363" s="31">
        <f>NT_D!J34</f>
        <v>-159728</v>
      </c>
    </row>
    <row r="364" spans="4:11" ht="12.75">
      <c r="D364" s="4" t="s">
        <v>1524</v>
      </c>
      <c r="E364" s="4">
        <v>5</v>
      </c>
      <c r="F364" s="32">
        <f>NT_D!G35</f>
        <v>26</v>
      </c>
      <c r="G364" s="32" t="str">
        <f>IF(NT_D!H35&lt;&gt;"",NT_D!H35,"")</f>
        <v>5.</v>
      </c>
      <c r="H364" s="30">
        <f t="shared" si="20"/>
        <v>-89967.28</v>
      </c>
      <c r="I364" s="4">
        <f t="shared" si="21"/>
        <v>0</v>
      </c>
      <c r="J364" s="31">
        <f>NT_D!I35</f>
        <v>-133524</v>
      </c>
      <c r="K364" s="31">
        <f>NT_D!J35</f>
        <v>-106252</v>
      </c>
    </row>
    <row r="365" spans="4:11" ht="12.75">
      <c r="D365" s="4" t="s">
        <v>1524</v>
      </c>
      <c r="E365" s="4">
        <v>5</v>
      </c>
      <c r="F365" s="32">
        <f>NT_D!G37</f>
        <v>27</v>
      </c>
      <c r="G365" s="32" t="str">
        <f>IF(NT_D!H37&lt;&gt;"",NT_D!H37,"")</f>
        <v>5.</v>
      </c>
      <c r="H365" s="30">
        <f t="shared" si="20"/>
        <v>2457000</v>
      </c>
      <c r="I365" s="4">
        <f t="shared" si="21"/>
        <v>0</v>
      </c>
      <c r="J365" s="31">
        <f>NT_D!I37</f>
        <v>3100000</v>
      </c>
      <c r="K365" s="31">
        <f>NT_D!J37</f>
        <v>3000000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t="str">
        <f>IF(NT_D!H39&lt;&gt;"",NT_D!H39,"")</f>
        <v>5.</v>
      </c>
      <c r="H367" s="30">
        <f t="shared" si="20"/>
        <v>150219.71000000002</v>
      </c>
      <c r="I367" s="4">
        <f t="shared" si="21"/>
        <v>0</v>
      </c>
      <c r="J367" s="31">
        <f>NT_D!I39</f>
        <v>9841</v>
      </c>
      <c r="K367" s="31">
        <f>NT_D!J39</f>
        <v>254079</v>
      </c>
    </row>
    <row r="368" spans="4:11" ht="12.75">
      <c r="D368" s="4" t="s">
        <v>1524</v>
      </c>
      <c r="E368" s="4">
        <v>5</v>
      </c>
      <c r="F368" s="32">
        <f>NT_D!G40</f>
        <v>30</v>
      </c>
      <c r="G368" s="32" t="str">
        <f>IF(NT_D!H40&lt;&gt;"",NT_D!H40,"")</f>
        <v>5.</v>
      </c>
      <c r="H368" s="30">
        <f t="shared" si="20"/>
        <v>53071.5</v>
      </c>
      <c r="I368" s="4">
        <f t="shared" si="21"/>
        <v>0</v>
      </c>
      <c r="J368" s="31">
        <f>NT_D!I40</f>
        <v>99193</v>
      </c>
      <c r="K368" s="31">
        <f>NT_D!J40</f>
        <v>38856</v>
      </c>
    </row>
    <row r="369" spans="4:11" ht="12.75">
      <c r="D369" s="4" t="s">
        <v>1524</v>
      </c>
      <c r="E369" s="4">
        <v>5</v>
      </c>
      <c r="F369" s="32">
        <f>NT_D!G41</f>
        <v>31</v>
      </c>
      <c r="G369" s="32" t="str">
        <f>IF(NT_D!H41&lt;&gt;"",NT_D!H41,"")</f>
        <v>5.</v>
      </c>
      <c r="H369" s="30">
        <f t="shared" si="20"/>
        <v>3036420.24</v>
      </c>
      <c r="I369" s="4">
        <f t="shared" si="21"/>
        <v>0</v>
      </c>
      <c r="J369" s="31">
        <f>NT_D!I41</f>
        <v>3209034</v>
      </c>
      <c r="K369" s="31">
        <f>NT_D!J41</f>
        <v>3292935</v>
      </c>
    </row>
    <row r="370" spans="4:11" ht="12.75">
      <c r="D370" s="4" t="s">
        <v>1524</v>
      </c>
      <c r="E370" s="4">
        <v>5</v>
      </c>
      <c r="F370" s="32">
        <f>NT_D!G42</f>
        <v>32</v>
      </c>
      <c r="G370" s="32" t="str">
        <f>IF(NT_D!H42&lt;&gt;"",NT_D!H42,"")</f>
        <v>5.</v>
      </c>
      <c r="H370" s="30">
        <f t="shared" si="20"/>
        <v>-5562524.8</v>
      </c>
      <c r="I370" s="4">
        <f t="shared" si="21"/>
        <v>0</v>
      </c>
      <c r="J370" s="31">
        <f>NT_D!I42</f>
        <v>-5612710</v>
      </c>
      <c r="K370" s="31">
        <f>NT_D!J42</f>
        <v>-5885090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t="str">
        <f>IF(NT_D!H46&lt;&gt;"",NT_D!H46,"")</f>
        <v>5.</v>
      </c>
      <c r="H374" s="30">
        <f t="shared" si="20"/>
        <v>-73705.32</v>
      </c>
      <c r="I374" s="4">
        <f t="shared" si="21"/>
        <v>0</v>
      </c>
      <c r="J374" s="31">
        <f>NT_D!I46</f>
        <v>-182013</v>
      </c>
      <c r="K374" s="31">
        <f>NT_D!J46</f>
        <v>-11362</v>
      </c>
    </row>
    <row r="375" spans="4:11" ht="12.75">
      <c r="D375" s="4" t="s">
        <v>1524</v>
      </c>
      <c r="E375" s="4">
        <v>5</v>
      </c>
      <c r="F375" s="32">
        <f>NT_D!G47</f>
        <v>37</v>
      </c>
      <c r="G375" s="32" t="str">
        <f>IF(NT_D!H47&lt;&gt;"",NT_D!H47,"")</f>
        <v>5.</v>
      </c>
      <c r="H375" s="30">
        <f t="shared" si="20"/>
        <v>-6507421.99</v>
      </c>
      <c r="I375" s="4">
        <f t="shared" si="21"/>
        <v>0</v>
      </c>
      <c r="J375" s="31">
        <f>NT_D!I47</f>
        <v>-5794723</v>
      </c>
      <c r="K375" s="31">
        <f>NT_D!J47</f>
        <v>-5896452</v>
      </c>
    </row>
    <row r="376" spans="4:11" ht="12.75">
      <c r="D376" s="4" t="s">
        <v>1524</v>
      </c>
      <c r="E376" s="4">
        <v>5</v>
      </c>
      <c r="F376" s="32">
        <f>NT_D!G48</f>
        <v>38</v>
      </c>
      <c r="G376" s="32" t="str">
        <f>IF(NT_D!H48&lt;&gt;"",NT_D!H48,"")</f>
        <v>5.</v>
      </c>
      <c r="H376" s="30">
        <f t="shared" si="20"/>
        <v>-2961234.7399999998</v>
      </c>
      <c r="I376" s="4">
        <f t="shared" si="21"/>
        <v>0</v>
      </c>
      <c r="J376" s="31">
        <f>NT_D!I48</f>
        <v>-2585689</v>
      </c>
      <c r="K376" s="31">
        <f>NT_D!J48</f>
        <v>-2603517</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t="str">
        <f>IF(NT_D!H50&lt;&gt;"",NT_D!H50,"")</f>
        <v>5.</v>
      </c>
      <c r="H378" s="30">
        <f t="shared" si="20"/>
        <v>411396</v>
      </c>
      <c r="I378" s="4">
        <f t="shared" si="21"/>
        <v>0</v>
      </c>
      <c r="J378" s="31">
        <f>NT_D!I50</f>
        <v>25162</v>
      </c>
      <c r="K378" s="31">
        <f>NT_D!J50</f>
        <v>501664</v>
      </c>
    </row>
    <row r="379" spans="4:11" ht="12.75">
      <c r="D379" s="4" t="s">
        <v>1524</v>
      </c>
      <c r="E379" s="4">
        <v>5</v>
      </c>
      <c r="F379" s="32">
        <f>NT_D!G51</f>
        <v>41</v>
      </c>
      <c r="G379" s="32" t="str">
        <f>IF(NT_D!H51&lt;&gt;"",NT_D!H51,"")</f>
        <v>5.</v>
      </c>
      <c r="H379" s="30">
        <f t="shared" si="20"/>
        <v>2775326.08</v>
      </c>
      <c r="I379" s="4">
        <f t="shared" si="21"/>
        <v>0</v>
      </c>
      <c r="J379" s="31">
        <f>NT_D!I51</f>
        <v>2239588</v>
      </c>
      <c r="K379" s="31">
        <f>NT_D!J51</f>
        <v>2264750</v>
      </c>
    </row>
    <row r="380" spans="4:11" ht="12.75">
      <c r="D380" s="4" t="s">
        <v>1524</v>
      </c>
      <c r="E380" s="4">
        <v>5</v>
      </c>
      <c r="F380" s="32">
        <f>NT_D!G52</f>
        <v>42</v>
      </c>
      <c r="G380" s="32" t="str">
        <f>IF(NT_D!H52&lt;&gt;"",NT_D!H52,"")</f>
        <v>5.</v>
      </c>
      <c r="H380" s="30">
        <f t="shared" si="20"/>
        <v>3274982.76</v>
      </c>
      <c r="I380" s="4">
        <f t="shared" si="21"/>
        <v>0</v>
      </c>
      <c r="J380" s="31">
        <f>NT_D!I52</f>
        <v>2264750</v>
      </c>
      <c r="K380" s="31">
        <f>NT_D!J52</f>
        <v>2766414</v>
      </c>
    </row>
    <row r="381" spans="4:25" ht="12.75">
      <c r="D381" s="4" t="s">
        <v>542</v>
      </c>
      <c r="E381" s="4">
        <v>6</v>
      </c>
      <c r="F381" s="4">
        <f>PK!G10</f>
        <v>1</v>
      </c>
      <c r="G381" s="4" t="str">
        <f>IF(PK!H10&lt;&gt;"",PK!H10,"")</f>
        <v>4.4.</v>
      </c>
      <c r="H381" s="30">
        <f>J381/100*F381+2*K381/100*F381+3*L381/100+4*M381/100+5*N381/100+6*O381/100+7*P381/100+8*Q381/100+9*R381/100+10*S381/100+11*T381/100+12*U381/100+13*V381/100+14*W381/100+15*X381/100+16*Y381/100</f>
        <v>14310493.25</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54321400</v>
      </c>
      <c r="K381" s="31">
        <f>PK!J10</f>
        <v>0</v>
      </c>
      <c r="L381" s="31">
        <f>PK!K10</f>
        <v>0</v>
      </c>
      <c r="M381" s="31">
        <f>PK!L10</f>
        <v>0</v>
      </c>
      <c r="N381" s="31">
        <f>PK!M10</f>
        <v>0</v>
      </c>
      <c r="O381" s="31">
        <f>PK!N10</f>
        <v>0</v>
      </c>
      <c r="P381" s="31">
        <f>PK!O10</f>
        <v>721591</v>
      </c>
      <c r="Q381" s="31">
        <f>PK!P10</f>
        <v>0</v>
      </c>
      <c r="R381" s="31">
        <f>PK!Q10</f>
        <v>0</v>
      </c>
      <c r="S381" s="31">
        <f>PK!R10</f>
        <v>0</v>
      </c>
      <c r="T381" s="31">
        <f>PK!S10</f>
        <v>0</v>
      </c>
      <c r="U381" s="31">
        <f>PK!T10</f>
        <v>-6657451</v>
      </c>
      <c r="V381" s="31">
        <f>PK!U10</f>
        <v>0</v>
      </c>
      <c r="W381" s="31">
        <f>PK!V10</f>
        <v>48385540</v>
      </c>
      <c r="X381" s="31">
        <f>PK!W10</f>
        <v>0</v>
      </c>
      <c r="Y381" s="31">
        <f>PK!X10</f>
        <v>48385540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15940135.25</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54321400</v>
      </c>
      <c r="K384" s="31">
        <f>PK!J13</f>
        <v>0</v>
      </c>
      <c r="L384" s="31">
        <f>PK!K13</f>
        <v>0</v>
      </c>
      <c r="M384" s="31">
        <f>PK!L13</f>
        <v>0</v>
      </c>
      <c r="N384" s="31">
        <f>PK!M13</f>
        <v>0</v>
      </c>
      <c r="O384" s="31">
        <f>PK!N13</f>
        <v>0</v>
      </c>
      <c r="P384" s="31">
        <f>PK!O13</f>
        <v>721591</v>
      </c>
      <c r="Q384" s="31">
        <f>PK!P13</f>
        <v>0</v>
      </c>
      <c r="R384" s="31">
        <f>PK!Q13</f>
        <v>0</v>
      </c>
      <c r="S384" s="31">
        <f>PK!R13</f>
        <v>0</v>
      </c>
      <c r="T384" s="31">
        <f>PK!S13</f>
        <v>0</v>
      </c>
      <c r="U384" s="31">
        <f>PK!T13</f>
        <v>-6657451</v>
      </c>
      <c r="V384" s="31">
        <f>PK!U13</f>
        <v>0</v>
      </c>
      <c r="W384" s="31">
        <f>PK!V13</f>
        <v>48385540</v>
      </c>
      <c r="X384" s="31">
        <f>PK!W13</f>
        <v>0</v>
      </c>
      <c r="Y384" s="31">
        <f>PK!X13</f>
        <v>48385540</v>
      </c>
    </row>
    <row r="385" spans="4:25" ht="12.75">
      <c r="D385" s="4" t="s">
        <v>542</v>
      </c>
      <c r="E385" s="4">
        <v>6</v>
      </c>
      <c r="F385" s="4">
        <f>PK!G14</f>
        <v>5</v>
      </c>
      <c r="G385" s="4">
        <f>IF(PK!H14&lt;&gt;"",PK!H14,"")</f>
      </c>
      <c r="H385" s="30">
        <f t="shared" si="22"/>
        <v>36910.340000000004</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85838</v>
      </c>
      <c r="W385" s="31">
        <f>PK!V14</f>
        <v>85838</v>
      </c>
      <c r="X385" s="31">
        <f>PK!W14</f>
        <v>0</v>
      </c>
      <c r="Y385" s="31">
        <f>PK!X14</f>
        <v>85838</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1457000</v>
      </c>
      <c r="I397" s="31">
        <f t="shared" si="23"/>
        <v>0</v>
      </c>
      <c r="J397" s="31">
        <f>PK!I26</f>
        <v>3100000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3100000</v>
      </c>
      <c r="X397" s="31">
        <f>PK!W26</f>
        <v>0</v>
      </c>
      <c r="Y397" s="31">
        <f>PK!X26</f>
        <v>3100000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27941111.59</v>
      </c>
      <c r="I403" s="31">
        <f t="shared" si="23"/>
        <v>0</v>
      </c>
      <c r="J403" s="31">
        <f>PK!I32</f>
        <v>57421400</v>
      </c>
      <c r="K403" s="31">
        <f>PK!J32</f>
        <v>0</v>
      </c>
      <c r="L403" s="31">
        <f>PK!K32</f>
        <v>0</v>
      </c>
      <c r="M403" s="31">
        <f>PK!L32</f>
        <v>0</v>
      </c>
      <c r="N403" s="31">
        <f>PK!M32</f>
        <v>0</v>
      </c>
      <c r="O403" s="31">
        <f>PK!N32</f>
        <v>0</v>
      </c>
      <c r="P403" s="31">
        <f>PK!O32</f>
        <v>721591</v>
      </c>
      <c r="Q403" s="31">
        <f>PK!P32</f>
        <v>0</v>
      </c>
      <c r="R403" s="31">
        <f>PK!Q32</f>
        <v>0</v>
      </c>
      <c r="S403" s="31">
        <f>PK!R32</f>
        <v>0</v>
      </c>
      <c r="T403" s="31">
        <f>PK!S32</f>
        <v>0</v>
      </c>
      <c r="U403" s="31">
        <f>PK!T32</f>
        <v>-6657451</v>
      </c>
      <c r="V403" s="31">
        <f>PK!U32</f>
        <v>85838</v>
      </c>
      <c r="W403" s="31">
        <f>PK!V32</f>
        <v>51571378</v>
      </c>
      <c r="X403" s="31">
        <f>PK!W32</f>
        <v>0</v>
      </c>
      <c r="Y403" s="31">
        <f>PK!X32</f>
        <v>51571378</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806000</v>
      </c>
      <c r="I406" s="31">
        <f t="shared" si="23"/>
        <v>0</v>
      </c>
      <c r="J406" s="31">
        <f>PK!I36</f>
        <v>3100000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30237109.209999997</v>
      </c>
      <c r="I407" s="31">
        <f t="shared" si="23"/>
        <v>0</v>
      </c>
      <c r="J407" s="31">
        <f>PK!I38</f>
        <v>57421400</v>
      </c>
      <c r="K407" s="31">
        <f>PK!J38</f>
        <v>0</v>
      </c>
      <c r="L407" s="31">
        <f>PK!K38</f>
        <v>0</v>
      </c>
      <c r="M407" s="31">
        <f>PK!L38</f>
        <v>0</v>
      </c>
      <c r="N407" s="31">
        <f>PK!M38</f>
        <v>0</v>
      </c>
      <c r="O407" s="31">
        <f>PK!N38</f>
        <v>0</v>
      </c>
      <c r="P407" s="31">
        <f>PK!O38</f>
        <v>721591</v>
      </c>
      <c r="Q407" s="31">
        <f>PK!P38</f>
        <v>0</v>
      </c>
      <c r="R407" s="31">
        <f>PK!Q38</f>
        <v>0</v>
      </c>
      <c r="S407" s="31">
        <f>PK!R38</f>
        <v>0</v>
      </c>
      <c r="T407" s="31">
        <f>PK!S38</f>
        <v>0</v>
      </c>
      <c r="U407" s="31">
        <f>PK!T38</f>
        <v>-6571613</v>
      </c>
      <c r="V407" s="31">
        <f>PK!U38</f>
        <v>0</v>
      </c>
      <c r="W407" s="31">
        <f>PK!V38</f>
        <v>51571378</v>
      </c>
      <c r="X407" s="31">
        <f>PK!W38</f>
        <v>0</v>
      </c>
      <c r="Y407" s="31">
        <f>PK!X38</f>
        <v>51571378</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31959751.21</v>
      </c>
      <c r="I410" s="31">
        <f t="shared" si="23"/>
        <v>0</v>
      </c>
      <c r="J410" s="31">
        <f>PK!I41</f>
        <v>57421400</v>
      </c>
      <c r="K410" s="31">
        <f>PK!J41</f>
        <v>0</v>
      </c>
      <c r="L410" s="31">
        <f>PK!K41</f>
        <v>0</v>
      </c>
      <c r="M410" s="31">
        <f>PK!L41</f>
        <v>0</v>
      </c>
      <c r="N410" s="31">
        <f>PK!M41</f>
        <v>0</v>
      </c>
      <c r="O410" s="31">
        <f>PK!N41</f>
        <v>0</v>
      </c>
      <c r="P410" s="31">
        <f>PK!O41</f>
        <v>721591</v>
      </c>
      <c r="Q410" s="31">
        <f>PK!P41</f>
        <v>0</v>
      </c>
      <c r="R410" s="31">
        <f>PK!Q41</f>
        <v>0</v>
      </c>
      <c r="S410" s="31">
        <f>PK!R41</f>
        <v>0</v>
      </c>
      <c r="T410" s="31">
        <f>PK!S41</f>
        <v>0</v>
      </c>
      <c r="U410" s="31">
        <f>PK!T41</f>
        <v>-6571613</v>
      </c>
      <c r="V410" s="31">
        <f>PK!U41</f>
        <v>0</v>
      </c>
      <c r="W410" s="31">
        <f>PK!V41</f>
        <v>51571378</v>
      </c>
      <c r="X410" s="31">
        <f>PK!W41</f>
        <v>0</v>
      </c>
      <c r="Y410" s="31">
        <f>PK!X41</f>
        <v>51571378</v>
      </c>
    </row>
    <row r="411" spans="4:25" ht="12.75">
      <c r="D411" s="4" t="s">
        <v>542</v>
      </c>
      <c r="E411" s="4">
        <v>6</v>
      </c>
      <c r="F411" s="4">
        <f>PK!G42</f>
        <v>31</v>
      </c>
      <c r="G411" s="4">
        <f>IF(PK!H42&lt;&gt;"",PK!H42,"")</f>
      </c>
      <c r="H411" s="30">
        <f t="shared" si="22"/>
        <v>34593.07000000001</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80449</v>
      </c>
      <c r="W411" s="31">
        <f>PK!V42</f>
        <v>80449</v>
      </c>
      <c r="X411" s="31">
        <f>PK!W42</f>
        <v>0</v>
      </c>
      <c r="Y411" s="31">
        <f>PK!X42</f>
        <v>80449</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2130000</v>
      </c>
      <c r="I421" s="31">
        <f t="shared" si="23"/>
        <v>0</v>
      </c>
      <c r="J421" s="31">
        <f>PK!I52</f>
        <v>3000000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3000000</v>
      </c>
      <c r="X421" s="31">
        <f>PK!W52</f>
        <v>0</v>
      </c>
      <c r="Y421" s="31">
        <f>PK!X52</f>
        <v>3000000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45274410.28</v>
      </c>
      <c r="I429" s="31">
        <f t="shared" si="23"/>
        <v>0</v>
      </c>
      <c r="J429" s="31">
        <f>PK!I60</f>
        <v>60421400</v>
      </c>
      <c r="K429" s="31">
        <f>PK!J60</f>
        <v>0</v>
      </c>
      <c r="L429" s="31">
        <f>PK!K60</f>
        <v>0</v>
      </c>
      <c r="M429" s="31">
        <f>PK!L60</f>
        <v>0</v>
      </c>
      <c r="N429" s="31">
        <f>PK!M60</f>
        <v>0</v>
      </c>
      <c r="O429" s="31">
        <f>PK!N60</f>
        <v>0</v>
      </c>
      <c r="P429" s="31">
        <f>PK!O60</f>
        <v>721591</v>
      </c>
      <c r="Q429" s="31">
        <f>PK!P60</f>
        <v>0</v>
      </c>
      <c r="R429" s="31">
        <f>PK!Q60</f>
        <v>0</v>
      </c>
      <c r="S429" s="31">
        <f>PK!R60</f>
        <v>0</v>
      </c>
      <c r="T429" s="31">
        <f>PK!S60</f>
        <v>0</v>
      </c>
      <c r="U429" s="31">
        <f>PK!T60</f>
        <v>-6571613</v>
      </c>
      <c r="V429" s="31">
        <f>PK!U60</f>
        <v>80449</v>
      </c>
      <c r="W429" s="31">
        <f>PK!V60</f>
        <v>54651827</v>
      </c>
      <c r="X429" s="31">
        <f>PK!W60</f>
        <v>0</v>
      </c>
      <c r="Y429" s="31">
        <f>PK!X60</f>
        <v>54651827</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1560000</v>
      </c>
      <c r="I432" s="31">
        <f t="shared" si="23"/>
        <v>0</v>
      </c>
      <c r="J432" s="31">
        <f>PK!I64</f>
        <v>3000000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4" activePane="bottomLeft" state="frozen"/>
      <selection pane="topLeft" activeCell="A2" sqref="A2"/>
      <selection pane="bottomLeft" activeCell="C16" sqref="C16:J16"/>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KOMUNALAC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3</v>
      </c>
      <c r="T3" s="211" t="s">
        <v>777</v>
      </c>
      <c r="U3" s="232" t="str">
        <f>RefStr!L21</f>
        <v>10858279999</v>
      </c>
      <c r="V3" s="211" t="s">
        <v>2355</v>
      </c>
      <c r="W3" s="232">
        <f>RefStr!C31</f>
        <v>10430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17055681355</v>
      </c>
      <c r="V4" s="211" t="s">
        <v>2356</v>
      </c>
      <c r="W4" s="232" t="str">
        <f>RefStr!F31</f>
        <v>SAMOBOR</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01316419</v>
      </c>
      <c r="V5" s="211" t="s">
        <v>2357</v>
      </c>
      <c r="W5" s="232" t="str">
        <f>RefStr!C33</f>
        <v>Ul. 151. samoborske brigade HV 2</v>
      </c>
      <c r="X5" s="234" t="s">
        <v>2517</v>
      </c>
      <c r="Y5" s="235" t="str">
        <f>RefStr!I62</f>
        <v>DA</v>
      </c>
      <c r="Z5" s="211" t="s">
        <v>691</v>
      </c>
      <c r="AA5" s="232">
        <f>RefStr!M46</f>
        <v>0</v>
      </c>
    </row>
    <row r="6" spans="1:27" ht="13.5" customHeight="1">
      <c r="A6" s="496"/>
      <c r="B6" s="497"/>
      <c r="C6" s="497"/>
      <c r="D6" s="497"/>
      <c r="E6" s="497"/>
      <c r="F6" s="497"/>
      <c r="G6" s="497"/>
      <c r="H6" s="497"/>
      <c r="I6" s="504"/>
      <c r="J6" s="505"/>
      <c r="L6" s="3"/>
      <c r="M6" s="3"/>
      <c r="N6" s="208" t="s">
        <v>1524</v>
      </c>
      <c r="O6" s="211">
        <f>NT_D!Q1</f>
        <v>1</v>
      </c>
      <c r="P6" s="212">
        <f>NT_D!Q2</f>
        <v>1</v>
      </c>
      <c r="Q6" s="232">
        <f>NT_D!Q3</f>
        <v>1</v>
      </c>
      <c r="R6" s="211" t="s">
        <v>1195</v>
      </c>
      <c r="S6" s="232" t="str">
        <f>RefStr!C21</f>
        <v>NE</v>
      </c>
      <c r="T6" s="211" t="s">
        <v>2353</v>
      </c>
      <c r="U6" s="232" t="str">
        <f>RefStr!M27</f>
        <v>080173330</v>
      </c>
      <c r="V6" s="211" t="s">
        <v>2568</v>
      </c>
      <c r="W6" s="232" t="str">
        <f>RefStr!L35</f>
        <v>01/5554-300</v>
      </c>
      <c r="X6" s="211" t="s">
        <v>2514</v>
      </c>
      <c r="Y6" s="232" t="str">
        <f>RefStr!C68</f>
        <v>Ljerka Duvnjak</v>
      </c>
      <c r="Z6" s="211" t="s">
        <v>1415</v>
      </c>
      <c r="AA6" s="232">
        <f>RefStr!C46</f>
        <v>0</v>
      </c>
    </row>
    <row r="7" spans="1:27" ht="13.5" customHeight="1">
      <c r="A7" s="496"/>
      <c r="B7" s="497"/>
      <c r="C7" s="497"/>
      <c r="D7" s="497"/>
      <c r="E7" s="497"/>
      <c r="F7" s="497"/>
      <c r="G7" s="497"/>
      <c r="H7" s="497"/>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5</v>
      </c>
      <c r="V7" s="211" t="s">
        <v>1193</v>
      </c>
      <c r="W7" s="232" t="str">
        <f>TRIM(UPPER(RefStr!C35))</f>
        <v>KOMUNALAC@KOMUNALAC-SAMOBOR.HR</v>
      </c>
      <c r="X7" s="211" t="s">
        <v>2515</v>
      </c>
      <c r="Y7" s="232" t="str">
        <f>RefStr!C70</f>
        <v>01/5554-311</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3811</v>
      </c>
      <c r="X8" s="211" t="s">
        <v>2516</v>
      </c>
      <c r="Y8" s="232" t="str">
        <f>TRIM(UPPER(RefStr!C72))</f>
        <v>LJERRKA-DUVNJAK@KOMUNALAC-SAMOBOR.HR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240</v>
      </c>
      <c r="Q9" s="231">
        <f>RefStr!F58</f>
        <v>240</v>
      </c>
      <c r="R9" s="211" t="s">
        <v>1860</v>
      </c>
      <c r="S9" s="232">
        <f>IF(RefStr!F4&lt;&gt;"",RefStr!F4,0)</f>
        <v>43830</v>
      </c>
      <c r="T9" s="211" t="s">
        <v>1821</v>
      </c>
      <c r="U9" s="232">
        <f>RefStr!C39</f>
        <v>380</v>
      </c>
      <c r="V9" s="211" t="s">
        <v>1414</v>
      </c>
      <c r="W9" s="232" t="str">
        <f>RefStr!D42</f>
        <v>Skupljanje neopasnog otpada</v>
      </c>
      <c r="X9" s="238" t="s">
        <v>221</v>
      </c>
      <c r="Y9" s="239" t="str">
        <f>RefStr!I66</f>
        <v>DA</v>
      </c>
      <c r="Z9" s="236" t="s">
        <v>219</v>
      </c>
      <c r="AA9" s="237" t="str">
        <f>RefStr!I64</f>
        <v>DA</v>
      </c>
    </row>
    <row r="10" spans="1:27" ht="13.5" customHeight="1">
      <c r="A10" s="507"/>
      <c r="B10" s="507"/>
      <c r="C10" s="507"/>
      <c r="D10" s="507"/>
      <c r="E10" s="507"/>
      <c r="F10" s="507"/>
      <c r="G10" s="507"/>
      <c r="H10" s="507"/>
      <c r="I10" s="507"/>
      <c r="J10" s="507"/>
      <c r="L10" s="195"/>
      <c r="M10" s="195"/>
      <c r="O10" s="230" t="s">
        <v>2123</v>
      </c>
      <c r="P10" s="213">
        <f>RefStr!C56</f>
        <v>242</v>
      </c>
      <c r="Q10" s="233">
        <f>RefStr!F56</f>
        <v>246</v>
      </c>
      <c r="R10" s="213" t="s">
        <v>1863</v>
      </c>
      <c r="S10" s="233">
        <f>RefStr!C23</f>
        <v>1</v>
      </c>
      <c r="T10" s="213" t="s">
        <v>2573</v>
      </c>
      <c r="U10" s="233" t="str">
        <f>RefStr!D39</f>
        <v>Samobor</v>
      </c>
      <c r="V10" s="240"/>
      <c r="W10" s="241"/>
      <c r="X10" s="242" t="s">
        <v>1974</v>
      </c>
      <c r="Y10" s="243">
        <f>RefStr!F12</f>
        <v>2019</v>
      </c>
      <c r="Z10" s="213" t="s">
        <v>209</v>
      </c>
      <c r="AA10" s="233" t="str">
        <f>RefStr!A75</f>
        <v>Ivica Karoglan, dipl. Ing. agr.</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90"/>
      <c r="E50" s="490"/>
      <c r="F50" s="490"/>
      <c r="G50" s="490"/>
      <c r="H50" s="490"/>
      <c r="I50" s="490"/>
      <c r="J50" s="490"/>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0</v>
      </c>
      <c r="Z50" s="201">
        <f>IF(RDG!I60&gt;300000000,1,0)</f>
        <v>0</v>
      </c>
      <c r="AA50" s="201">
        <f>IF(P10&gt;250,1,0)</f>
        <v>0</v>
      </c>
      <c r="AC50" s="199">
        <f>IF(SUM(AM50:AO50)&gt;1,4,IF(SUM(AI50:AK50)&gt;1,3,IF(SUM(AE50:AG50)&gt;1,2,IF(S6="DA",2,1))))</f>
        <v>3</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1</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C:\Users\lduvnjak\Desktop\2019.-PLAN I IZVJEŠĆA\GFI i OBRAČUN ZA 2019\GFI ZA 2019\[GFI 1.1.-31.12.2019.-STATISTIKA i JAV. OB..xls]PK</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4" activePane="bottomLeft" state="frozen"/>
      <selection pane="topLeft" activeCell="A1" sqref="A1"/>
      <selection pane="bottomLeft" activeCell="I21" sqref="I2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131641.9</v>
      </c>
    </row>
    <row r="13" spans="4:17" ht="9.75" customHeight="1">
      <c r="D13" s="156"/>
      <c r="E13" s="162"/>
      <c r="H13" s="27"/>
      <c r="I13" s="163"/>
      <c r="J13" s="163"/>
      <c r="K13" s="156"/>
      <c r="L13" s="156"/>
      <c r="M13" s="156"/>
      <c r="N13" s="156"/>
      <c r="P13" s="54" t="s">
        <v>2353</v>
      </c>
      <c r="Q13" s="55">
        <f>INT(VALUE(M27))/50</f>
        <v>1603466.6</v>
      </c>
    </row>
    <row r="14" spans="1:17" ht="15">
      <c r="A14" s="321" t="s">
        <v>2714</v>
      </c>
      <c r="B14" s="321"/>
      <c r="C14" s="321"/>
      <c r="D14" s="164"/>
      <c r="E14" s="165"/>
      <c r="F14" s="319"/>
      <c r="G14" s="320"/>
      <c r="H14" s="320"/>
      <c r="I14" s="156"/>
      <c r="J14" s="327" t="s">
        <v>2100</v>
      </c>
      <c r="K14" s="328"/>
      <c r="L14" s="328"/>
      <c r="M14" s="328"/>
      <c r="N14" s="328"/>
      <c r="P14" s="54" t="s">
        <v>2718</v>
      </c>
      <c r="Q14" s="55">
        <f>INT(VALUE(C27))/100</f>
        <v>170556813.55</v>
      </c>
    </row>
    <row r="15" spans="1:17" ht="19.5" customHeight="1">
      <c r="A15" s="324">
        <f>Skriveni!B59</f>
        <v>5517668370.180001</v>
      </c>
      <c r="B15" s="325"/>
      <c r="C15" s="326"/>
      <c r="D15" s="60"/>
      <c r="E15" s="60"/>
      <c r="F15" s="60"/>
      <c r="G15" s="60"/>
      <c r="H15" s="60"/>
      <c r="I15" s="60"/>
      <c r="J15" s="60"/>
      <c r="K15" s="60"/>
      <c r="L15" s="60"/>
      <c r="M15" s="60"/>
      <c r="N15" s="60"/>
      <c r="P15" s="54" t="s">
        <v>1817</v>
      </c>
      <c r="Q15" s="55">
        <f>LEN(Skriveni!B9)</f>
        <v>16</v>
      </c>
    </row>
    <row r="16" spans="4:17" ht="12.75" customHeight="1">
      <c r="D16" s="60"/>
      <c r="E16" s="60"/>
      <c r="F16" s="60"/>
      <c r="G16" s="60"/>
      <c r="H16" s="60"/>
      <c r="I16" s="60"/>
      <c r="P16" s="54" t="s">
        <v>1818</v>
      </c>
      <c r="Q16" s="55">
        <f>INT(VALUE(C31))/100</f>
        <v>104.3</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32</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2968</v>
      </c>
      <c r="M21" s="342"/>
      <c r="N21" s="277"/>
      <c r="P21" s="54" t="s">
        <v>1821</v>
      </c>
      <c r="Q21" s="55">
        <f>INT(VALUE(C39))</f>
        <v>380</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2967</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2955</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10430</v>
      </c>
      <c r="D31" s="335" t="s">
        <v>693</v>
      </c>
      <c r="E31" s="336"/>
      <c r="F31" s="316" t="s">
        <v>2956</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380</v>
      </c>
      <c r="D39" s="348" t="str">
        <f>IF(C39="","Šifra grada/općine nije upisana",IF(ISNA(LOOKUP(C39,A177:A732,A177:A732)),"Šifra grada/općine ne postoji",IF(LOOKUP(C39,A177:A732,A177:A732)&lt;&gt;C39,"Šifra grada/općine ne postoji",LOOKUP(C39,A177:A732,B177:B732))))</f>
        <v>Samobor</v>
      </c>
      <c r="E39" s="349"/>
      <c r="F39" s="349"/>
      <c r="G39" s="349"/>
      <c r="H39" s="272" t="s">
        <v>2222</v>
      </c>
      <c r="I39" s="344"/>
      <c r="J39" s="58">
        <f>IF(C39&gt;0,LOOKUP(C39,A177:A732,C177:C732),"")</f>
        <v>1</v>
      </c>
      <c r="K39" s="351" t="str">
        <f>IF(J39="","Treba prvo upisati šifru grada/općine",LOOKUP(J39,A153:A173,B153:B173))</f>
        <v>ZAGREBAČKA</v>
      </c>
      <c r="L39" s="351"/>
      <c r="M39" s="351"/>
      <c r="N39" s="351"/>
      <c r="P39" s="54" t="s">
        <v>1826</v>
      </c>
      <c r="Q39" s="55">
        <f>C56+2*F56+3*C58+4*F58</f>
        <v>2414</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31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108582799.99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3</v>
      </c>
      <c r="D50" s="379" t="str">
        <f>IF(C50="","Oznaka veličine nije upisana",IF(ISNA(LOOKUP(C50,A124:A127,A124:A127)),"Nepostojeća oznaka veličine",IF(LOOKUP(C50,A124:A127,A124:A127)&lt;&gt;C50,"Nepostojeća oznaka veličine",LOOKUP(C50,A124:A127,B124:B127))))</f>
        <v>Srednji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242</v>
      </c>
      <c r="D56" s="270" t="s">
        <v>2898</v>
      </c>
      <c r="E56" s="380"/>
      <c r="F56" s="44">
        <v>246</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240</v>
      </c>
      <c r="D58" s="278" t="s">
        <v>2898</v>
      </c>
      <c r="E58" s="278"/>
      <c r="F58" s="44">
        <v>240</v>
      </c>
      <c r="G58" s="278" t="s">
        <v>2899</v>
      </c>
      <c r="H58" s="278"/>
      <c r="I58" s="5" t="str">
        <f>IF(OR(NT_I!Q1&lt;&gt;0,NT_D!Q1&lt;&gt;0),"DA","NE")</f>
        <v>DA</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DA</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2138</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2961</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2962</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2963</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00" activePane="bottomLeft" state="frozen"/>
      <selection pane="topLeft" activeCell="A1" sqref="A1"/>
      <selection pane="bottomLeft" activeCell="H133" sqref="H13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17055681355; KOMUNALAC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t="s">
        <v>2969</v>
      </c>
      <c r="I10" s="70">
        <f>I11+I18+I28+I39+I44</f>
        <v>107688740</v>
      </c>
      <c r="J10" s="70">
        <f>J11+J18+J28+J39+J44</f>
        <v>91225723</v>
      </c>
    </row>
    <row r="11" spans="1:10" ht="13.5" customHeight="1">
      <c r="A11" s="384" t="s">
        <v>1850</v>
      </c>
      <c r="B11" s="384"/>
      <c r="C11" s="384"/>
      <c r="D11" s="384"/>
      <c r="E11" s="384"/>
      <c r="F11" s="384"/>
      <c r="G11" s="19">
        <v>3</v>
      </c>
      <c r="H11" s="20" t="s">
        <v>2969</v>
      </c>
      <c r="I11" s="70">
        <f>SUM(I12:I17)</f>
        <v>87388</v>
      </c>
      <c r="J11" s="70">
        <f>SUM(J12:J17)</f>
        <v>177165</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t="s">
        <v>2969</v>
      </c>
      <c r="I13" s="71">
        <v>87388</v>
      </c>
      <c r="J13" s="71">
        <v>95765</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t="s">
        <v>2969</v>
      </c>
      <c r="I16" s="71"/>
      <c r="J16" s="71">
        <v>81400</v>
      </c>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t="s">
        <v>2971</v>
      </c>
      <c r="I18" s="70">
        <f>SUM(I19:I27)</f>
        <v>106742920</v>
      </c>
      <c r="J18" s="70">
        <f>SUM(J19:J27)</f>
        <v>90354837</v>
      </c>
    </row>
    <row r="19" spans="1:10" ht="13.5" customHeight="1">
      <c r="A19" s="383" t="s">
        <v>2176</v>
      </c>
      <c r="B19" s="383"/>
      <c r="C19" s="383"/>
      <c r="D19" s="383"/>
      <c r="E19" s="383"/>
      <c r="F19" s="383"/>
      <c r="G19" s="19">
        <v>11</v>
      </c>
      <c r="H19" s="20" t="s">
        <v>2971</v>
      </c>
      <c r="I19" s="71">
        <v>8447207</v>
      </c>
      <c r="J19" s="71">
        <v>8447207</v>
      </c>
    </row>
    <row r="20" spans="1:10" ht="13.5" customHeight="1">
      <c r="A20" s="383" t="s">
        <v>543</v>
      </c>
      <c r="B20" s="383"/>
      <c r="C20" s="383"/>
      <c r="D20" s="383"/>
      <c r="E20" s="383"/>
      <c r="F20" s="383"/>
      <c r="G20" s="19">
        <v>12</v>
      </c>
      <c r="H20" s="20" t="s">
        <v>2971</v>
      </c>
      <c r="I20" s="71">
        <v>56825253</v>
      </c>
      <c r="J20" s="71">
        <v>55239629</v>
      </c>
    </row>
    <row r="21" spans="1:10" ht="13.5" customHeight="1">
      <c r="A21" s="383" t="s">
        <v>2177</v>
      </c>
      <c r="B21" s="383"/>
      <c r="C21" s="383"/>
      <c r="D21" s="383"/>
      <c r="E21" s="383"/>
      <c r="F21" s="383"/>
      <c r="G21" s="19">
        <v>13</v>
      </c>
      <c r="H21" s="20" t="s">
        <v>2971</v>
      </c>
      <c r="I21" s="71">
        <v>3797297</v>
      </c>
      <c r="J21" s="71">
        <v>4102033</v>
      </c>
    </row>
    <row r="22" spans="1:10" ht="13.5" customHeight="1">
      <c r="A22" s="383" t="s">
        <v>2290</v>
      </c>
      <c r="B22" s="383"/>
      <c r="C22" s="383"/>
      <c r="D22" s="383"/>
      <c r="E22" s="383"/>
      <c r="F22" s="383"/>
      <c r="G22" s="19">
        <v>14</v>
      </c>
      <c r="H22" s="20" t="s">
        <v>2971</v>
      </c>
      <c r="I22" s="71">
        <v>13833989</v>
      </c>
      <c r="J22" s="71">
        <v>11619757</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t="s">
        <v>2971</v>
      </c>
      <c r="I25" s="71">
        <v>23596108</v>
      </c>
      <c r="J25" s="71">
        <v>10709093</v>
      </c>
    </row>
    <row r="26" spans="1:10" ht="13.5" customHeight="1">
      <c r="A26" s="383" t="s">
        <v>1084</v>
      </c>
      <c r="B26" s="383"/>
      <c r="C26" s="383"/>
      <c r="D26" s="383"/>
      <c r="E26" s="383"/>
      <c r="F26" s="383"/>
      <c r="G26" s="19">
        <v>18</v>
      </c>
      <c r="H26" s="20" t="s">
        <v>2971</v>
      </c>
      <c r="I26" s="71">
        <v>243066</v>
      </c>
      <c r="J26" s="71">
        <v>237118</v>
      </c>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t="s">
        <v>2970</v>
      </c>
      <c r="I39" s="70">
        <f>SUM(I40:I43)</f>
        <v>858432</v>
      </c>
      <c r="J39" s="70">
        <f>SUM(J40:J43)</f>
        <v>693721</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t="s">
        <v>2970</v>
      </c>
      <c r="I43" s="71">
        <v>858432</v>
      </c>
      <c r="J43" s="71">
        <v>693721</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t="s">
        <v>2972</v>
      </c>
      <c r="I45" s="70">
        <f>I46+I54+I61+I71</f>
        <v>35475132</v>
      </c>
      <c r="J45" s="70">
        <f>J46+J54+J61+J71</f>
        <v>37713377</v>
      </c>
    </row>
    <row r="46" spans="1:10" ht="13.5" customHeight="1">
      <c r="A46" s="384" t="s">
        <v>2647</v>
      </c>
      <c r="B46" s="384"/>
      <c r="C46" s="384"/>
      <c r="D46" s="384"/>
      <c r="E46" s="384"/>
      <c r="F46" s="384"/>
      <c r="G46" s="19">
        <v>38</v>
      </c>
      <c r="H46" s="20" t="s">
        <v>2973</v>
      </c>
      <c r="I46" s="70">
        <f>SUM(I47:I53)</f>
        <v>1576070</v>
      </c>
      <c r="J46" s="70">
        <f>SUM(J47:J53)</f>
        <v>1191583</v>
      </c>
    </row>
    <row r="47" spans="1:10" ht="13.5" customHeight="1">
      <c r="A47" s="383" t="s">
        <v>970</v>
      </c>
      <c r="B47" s="383"/>
      <c r="C47" s="383"/>
      <c r="D47" s="383"/>
      <c r="E47" s="383"/>
      <c r="F47" s="383"/>
      <c r="G47" s="19">
        <v>39</v>
      </c>
      <c r="H47" s="20" t="s">
        <v>2973</v>
      </c>
      <c r="I47" s="71">
        <v>857753</v>
      </c>
      <c r="J47" s="71">
        <v>654970</v>
      </c>
    </row>
    <row r="48" spans="1:10" ht="13.5" customHeight="1">
      <c r="A48" s="383" t="s">
        <v>971</v>
      </c>
      <c r="B48" s="383"/>
      <c r="C48" s="383"/>
      <c r="D48" s="383"/>
      <c r="E48" s="383"/>
      <c r="F48" s="383"/>
      <c r="G48" s="19">
        <v>40</v>
      </c>
      <c r="H48" s="20" t="s">
        <v>2973</v>
      </c>
      <c r="I48" s="71"/>
      <c r="J48" s="71">
        <v>93243</v>
      </c>
    </row>
    <row r="49" spans="1:10" ht="13.5" customHeight="1">
      <c r="A49" s="383" t="s">
        <v>972</v>
      </c>
      <c r="B49" s="383"/>
      <c r="C49" s="383"/>
      <c r="D49" s="383"/>
      <c r="E49" s="383"/>
      <c r="F49" s="383"/>
      <c r="G49" s="19">
        <v>41</v>
      </c>
      <c r="H49" s="20" t="s">
        <v>2973</v>
      </c>
      <c r="I49" s="71">
        <v>633582</v>
      </c>
      <c r="J49" s="71">
        <v>335452</v>
      </c>
    </row>
    <row r="50" spans="1:10" ht="13.5" customHeight="1">
      <c r="A50" s="383" t="s">
        <v>973</v>
      </c>
      <c r="B50" s="383"/>
      <c r="C50" s="383"/>
      <c r="D50" s="383"/>
      <c r="E50" s="383"/>
      <c r="F50" s="383"/>
      <c r="G50" s="19">
        <v>42</v>
      </c>
      <c r="H50" s="20" t="s">
        <v>2973</v>
      </c>
      <c r="I50" s="71">
        <v>84735</v>
      </c>
      <c r="J50" s="71">
        <v>107918</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t="s">
        <v>2974</v>
      </c>
      <c r="I54" s="70">
        <f>SUM(I55:I60)</f>
        <v>31450431</v>
      </c>
      <c r="J54" s="70">
        <f>SUM(J55:J60)</f>
        <v>33629494</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t="s">
        <v>2974</v>
      </c>
      <c r="I57" s="71">
        <v>4743544</v>
      </c>
      <c r="J57" s="71">
        <v>6685693</v>
      </c>
    </row>
    <row r="58" spans="1:10" ht="13.5" customHeight="1">
      <c r="A58" s="383" t="s">
        <v>350</v>
      </c>
      <c r="B58" s="383"/>
      <c r="C58" s="383"/>
      <c r="D58" s="383"/>
      <c r="E58" s="383"/>
      <c r="F58" s="383"/>
      <c r="G58" s="19">
        <v>50</v>
      </c>
      <c r="H58" s="20" t="s">
        <v>2974</v>
      </c>
      <c r="I58" s="71">
        <v>3906</v>
      </c>
      <c r="J58" s="71">
        <v>1454</v>
      </c>
    </row>
    <row r="59" spans="1:10" ht="13.5" customHeight="1">
      <c r="A59" s="383" t="s">
        <v>351</v>
      </c>
      <c r="B59" s="383"/>
      <c r="C59" s="383"/>
      <c r="D59" s="383"/>
      <c r="E59" s="383"/>
      <c r="F59" s="383"/>
      <c r="G59" s="19">
        <v>51</v>
      </c>
      <c r="H59" s="20" t="s">
        <v>2974</v>
      </c>
      <c r="I59" s="71">
        <v>126993</v>
      </c>
      <c r="J59" s="71">
        <v>56599</v>
      </c>
    </row>
    <row r="60" spans="1:10" ht="13.5" customHeight="1">
      <c r="A60" s="383" t="s">
        <v>2638</v>
      </c>
      <c r="B60" s="383"/>
      <c r="C60" s="383"/>
      <c r="D60" s="383"/>
      <c r="E60" s="383"/>
      <c r="F60" s="383"/>
      <c r="G60" s="19">
        <v>52</v>
      </c>
      <c r="H60" s="20" t="s">
        <v>2974</v>
      </c>
      <c r="I60" s="71">
        <v>26575988</v>
      </c>
      <c r="J60" s="71">
        <v>26885748</v>
      </c>
    </row>
    <row r="61" spans="1:10" ht="13.5" customHeight="1">
      <c r="A61" s="384" t="s">
        <v>2649</v>
      </c>
      <c r="B61" s="384"/>
      <c r="C61" s="384"/>
      <c r="D61" s="384"/>
      <c r="E61" s="384"/>
      <c r="F61" s="384"/>
      <c r="G61" s="19">
        <v>53</v>
      </c>
      <c r="H61" s="20" t="s">
        <v>2975</v>
      </c>
      <c r="I61" s="70">
        <f>SUM(I62:I70)</f>
        <v>183881</v>
      </c>
      <c r="J61" s="70">
        <f>SUM(J62:J70)</f>
        <v>125886</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t="s">
        <v>2975</v>
      </c>
      <c r="I69" s="71">
        <v>183881</v>
      </c>
      <c r="J69" s="71">
        <v>125886</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t="s">
        <v>2976</v>
      </c>
      <c r="I71" s="71">
        <v>2264750</v>
      </c>
      <c r="J71" s="71">
        <v>2766414</v>
      </c>
    </row>
    <row r="72" spans="1:10" ht="24.75" customHeight="1">
      <c r="A72" s="381" t="s">
        <v>1558</v>
      </c>
      <c r="B72" s="381"/>
      <c r="C72" s="381"/>
      <c r="D72" s="381"/>
      <c r="E72" s="381"/>
      <c r="F72" s="381"/>
      <c r="G72" s="19">
        <v>64</v>
      </c>
      <c r="H72" s="20" t="s">
        <v>2977</v>
      </c>
      <c r="I72" s="71">
        <v>2636</v>
      </c>
      <c r="J72" s="71">
        <v>2442</v>
      </c>
    </row>
    <row r="73" spans="1:10" ht="13.5" customHeight="1">
      <c r="A73" s="381" t="s">
        <v>2650</v>
      </c>
      <c r="B73" s="381"/>
      <c r="C73" s="381"/>
      <c r="D73" s="381"/>
      <c r="E73" s="381"/>
      <c r="F73" s="381"/>
      <c r="G73" s="19">
        <v>65</v>
      </c>
      <c r="H73" s="20"/>
      <c r="I73" s="70">
        <f>I9+I10+I45+I72</f>
        <v>143166508</v>
      </c>
      <c r="J73" s="70">
        <f>J9+J10+J45+J72</f>
        <v>128941542</v>
      </c>
    </row>
    <row r="74" spans="1:10" ht="13.5" customHeight="1">
      <c r="A74" s="382" t="s">
        <v>257</v>
      </c>
      <c r="B74" s="382"/>
      <c r="C74" s="382"/>
      <c r="D74" s="382"/>
      <c r="E74" s="382"/>
      <c r="F74" s="382"/>
      <c r="G74" s="21">
        <v>66</v>
      </c>
      <c r="H74" s="22" t="s">
        <v>2978</v>
      </c>
      <c r="I74" s="72">
        <v>94654971</v>
      </c>
      <c r="J74" s="72">
        <v>89356299</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t="s">
        <v>2966</v>
      </c>
      <c r="I76" s="70">
        <f>I77+I78+I79+I85+I86+I90+I93+I96</f>
        <v>51571378</v>
      </c>
      <c r="J76" s="70">
        <f>J77+J78+J79+J85+J86+J90+J93+J96</f>
        <v>54651827</v>
      </c>
      <c r="L76" s="2" t="s">
        <v>2591</v>
      </c>
    </row>
    <row r="77" spans="1:10" ht="13.5" customHeight="1">
      <c r="A77" s="384" t="s">
        <v>935</v>
      </c>
      <c r="B77" s="384"/>
      <c r="C77" s="384"/>
      <c r="D77" s="384"/>
      <c r="E77" s="384"/>
      <c r="F77" s="384"/>
      <c r="G77" s="19">
        <v>68</v>
      </c>
      <c r="H77" s="20" t="s">
        <v>2966</v>
      </c>
      <c r="I77" s="71">
        <v>57421400</v>
      </c>
      <c r="J77" s="71">
        <v>60421400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t="s">
        <v>2966</v>
      </c>
      <c r="I79" s="70">
        <f>I80+I81-I82+I83+I84</f>
        <v>721591</v>
      </c>
      <c r="J79" s="70">
        <f>J80+J81-J82+J83+J84</f>
        <v>721591</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t="s">
        <v>2966</v>
      </c>
      <c r="I84" s="71">
        <v>721591</v>
      </c>
      <c r="J84" s="71">
        <v>721591</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t="s">
        <v>2966</v>
      </c>
      <c r="I90" s="70">
        <f>I91-I92</f>
        <v>-6657451</v>
      </c>
      <c r="J90" s="70">
        <f>J91-J92</f>
        <v>-6571613</v>
      </c>
      <c r="L90" s="2" t="s">
        <v>2591</v>
      </c>
    </row>
    <row r="91" spans="1:10" ht="13.5" customHeight="1">
      <c r="A91" s="383" t="s">
        <v>1139</v>
      </c>
      <c r="B91" s="383"/>
      <c r="C91" s="383"/>
      <c r="D91" s="383"/>
      <c r="E91" s="383"/>
      <c r="F91" s="383"/>
      <c r="G91" s="19">
        <v>82</v>
      </c>
      <c r="H91" s="20"/>
      <c r="I91" s="71"/>
      <c r="J91" s="71"/>
    </row>
    <row r="92" spans="1:10" ht="13.5" customHeight="1">
      <c r="A92" s="383" t="s">
        <v>1140</v>
      </c>
      <c r="B92" s="383"/>
      <c r="C92" s="383"/>
      <c r="D92" s="383"/>
      <c r="E92" s="383"/>
      <c r="F92" s="383"/>
      <c r="G92" s="19">
        <v>83</v>
      </c>
      <c r="H92" s="20" t="s">
        <v>2966</v>
      </c>
      <c r="I92" s="71">
        <v>6657451</v>
      </c>
      <c r="J92" s="71">
        <v>6571613</v>
      </c>
    </row>
    <row r="93" spans="1:12" ht="13.5" customHeight="1">
      <c r="A93" s="384" t="s">
        <v>2653</v>
      </c>
      <c r="B93" s="384"/>
      <c r="C93" s="384"/>
      <c r="D93" s="384"/>
      <c r="E93" s="384"/>
      <c r="F93" s="384"/>
      <c r="G93" s="19">
        <v>84</v>
      </c>
      <c r="H93" s="20" t="s">
        <v>2966</v>
      </c>
      <c r="I93" s="70">
        <f>I94-I95</f>
        <v>85838</v>
      </c>
      <c r="J93" s="70">
        <f>J94-J95</f>
        <v>80449</v>
      </c>
      <c r="L93" s="2" t="s">
        <v>2591</v>
      </c>
    </row>
    <row r="94" spans="1:10" ht="13.5" customHeight="1">
      <c r="A94" s="383" t="s">
        <v>2640</v>
      </c>
      <c r="B94" s="383"/>
      <c r="C94" s="383"/>
      <c r="D94" s="383"/>
      <c r="E94" s="383"/>
      <c r="F94" s="383"/>
      <c r="G94" s="19">
        <v>85</v>
      </c>
      <c r="H94" s="20" t="s">
        <v>2966</v>
      </c>
      <c r="I94" s="71">
        <v>85838</v>
      </c>
      <c r="J94" s="71">
        <v>80449</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t="s">
        <v>2979</v>
      </c>
      <c r="I97" s="70">
        <f>SUM(I98:I103)</f>
        <v>293155</v>
      </c>
      <c r="J97" s="70">
        <f>SUM(J98:J103)</f>
        <v>561730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t="s">
        <v>2979</v>
      </c>
      <c r="I100" s="71">
        <v>293155</v>
      </c>
      <c r="J100" s="71">
        <v>561730</v>
      </c>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t="s">
        <v>2980</v>
      </c>
      <c r="I104" s="70">
        <f>SUM(I105:I115)</f>
        <v>22969096</v>
      </c>
      <c r="J104" s="70">
        <f>SUM(J105:J115)</f>
        <v>19201089</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t="s">
        <v>2980</v>
      </c>
      <c r="I110" s="71">
        <v>22904277</v>
      </c>
      <c r="J110" s="71">
        <v>19139212</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t="s">
        <v>2980</v>
      </c>
      <c r="I114" s="71">
        <v>64819</v>
      </c>
      <c r="J114" s="71">
        <v>61877</v>
      </c>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t="s">
        <v>2981</v>
      </c>
      <c r="I116" s="70">
        <f>SUM(I117:I130)</f>
        <v>42822528</v>
      </c>
      <c r="J116" s="70">
        <f>SUM(J117:J130)</f>
        <v>41671736</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t="s">
        <v>2981</v>
      </c>
      <c r="I121" s="71">
        <v>135357</v>
      </c>
      <c r="J121" s="71">
        <v>167240</v>
      </c>
    </row>
    <row r="122" spans="1:10" ht="13.5" customHeight="1">
      <c r="A122" s="383" t="s">
        <v>362</v>
      </c>
      <c r="B122" s="383"/>
      <c r="C122" s="383"/>
      <c r="D122" s="383"/>
      <c r="E122" s="383"/>
      <c r="F122" s="383"/>
      <c r="G122" s="19">
        <v>113</v>
      </c>
      <c r="H122" s="20" t="s">
        <v>2981</v>
      </c>
      <c r="I122" s="71">
        <v>8062343</v>
      </c>
      <c r="J122" s="71">
        <v>8224219</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t="s">
        <v>2981</v>
      </c>
      <c r="I124" s="71">
        <v>5341599</v>
      </c>
      <c r="J124" s="71">
        <v>4178527</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t="s">
        <v>2981</v>
      </c>
      <c r="I126" s="71">
        <v>1991619</v>
      </c>
      <c r="J126" s="71">
        <v>2140537</v>
      </c>
    </row>
    <row r="127" spans="1:10" ht="13.5" customHeight="1">
      <c r="A127" s="383" t="s">
        <v>364</v>
      </c>
      <c r="B127" s="383"/>
      <c r="C127" s="383"/>
      <c r="D127" s="383"/>
      <c r="E127" s="383"/>
      <c r="F127" s="383"/>
      <c r="G127" s="19">
        <v>118</v>
      </c>
      <c r="H127" s="20" t="s">
        <v>2981</v>
      </c>
      <c r="I127" s="71">
        <v>650646</v>
      </c>
      <c r="J127" s="71">
        <v>439725</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t="s">
        <v>2981</v>
      </c>
      <c r="I130" s="71">
        <v>26640964</v>
      </c>
      <c r="J130" s="71">
        <v>26521488</v>
      </c>
    </row>
    <row r="131" spans="1:10" ht="24.75" customHeight="1">
      <c r="A131" s="381" t="s">
        <v>1560</v>
      </c>
      <c r="B131" s="381"/>
      <c r="C131" s="381"/>
      <c r="D131" s="381"/>
      <c r="E131" s="381"/>
      <c r="F131" s="381"/>
      <c r="G131" s="19">
        <v>122</v>
      </c>
      <c r="H131" s="20" t="s">
        <v>2982</v>
      </c>
      <c r="I131" s="71">
        <v>25510351</v>
      </c>
      <c r="J131" s="71">
        <v>12855160</v>
      </c>
    </row>
    <row r="132" spans="1:10" ht="13.5" customHeight="1">
      <c r="A132" s="381" t="s">
        <v>2657</v>
      </c>
      <c r="B132" s="381"/>
      <c r="C132" s="381"/>
      <c r="D132" s="381"/>
      <c r="E132" s="381"/>
      <c r="F132" s="381"/>
      <c r="G132" s="19">
        <v>123</v>
      </c>
      <c r="H132" s="20"/>
      <c r="I132" s="70">
        <f>I76+I97+I104+I116+I131</f>
        <v>143166508</v>
      </c>
      <c r="J132" s="70">
        <f>J76+J97+J104+J116+J131</f>
        <v>128941542</v>
      </c>
    </row>
    <row r="133" spans="1:10" ht="13.5" customHeight="1">
      <c r="A133" s="382" t="s">
        <v>662</v>
      </c>
      <c r="B133" s="382"/>
      <c r="C133" s="382"/>
      <c r="D133" s="382"/>
      <c r="E133" s="382"/>
      <c r="F133" s="382"/>
      <c r="G133" s="21">
        <v>124</v>
      </c>
      <c r="H133" s="22" t="s">
        <v>2983</v>
      </c>
      <c r="I133" s="72">
        <v>94654971</v>
      </c>
      <c r="J133" s="72">
        <v>89356299</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1:J92 I94:J95 I97:J133">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9" activePane="bottomLeft" state="frozen"/>
      <selection pane="topLeft" activeCell="A1" sqref="A1"/>
      <selection pane="bottomLeft" activeCell="J70" sqref="J7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17055681355; KOMUNALAC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t="s">
        <v>2984</v>
      </c>
      <c r="I8" s="84">
        <f>SUM(I9:I13)</f>
        <v>62667037</v>
      </c>
      <c r="J8" s="84">
        <f>SUM(J9:J13)</f>
        <v>62848078</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t="s">
        <v>2984</v>
      </c>
      <c r="I10" s="71">
        <v>60873764</v>
      </c>
      <c r="J10" s="71">
        <v>61098780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t="s">
        <v>2984</v>
      </c>
      <c r="I13" s="71">
        <v>1793273</v>
      </c>
      <c r="J13" s="71">
        <v>1749298</v>
      </c>
    </row>
    <row r="14" spans="1:10" s="2" customFormat="1" ht="13.5" customHeight="1">
      <c r="A14" s="381" t="s">
        <v>1837</v>
      </c>
      <c r="B14" s="381"/>
      <c r="C14" s="381"/>
      <c r="D14" s="381"/>
      <c r="E14" s="381"/>
      <c r="F14" s="381"/>
      <c r="G14" s="19">
        <v>131</v>
      </c>
      <c r="H14" s="20" t="s">
        <v>2985</v>
      </c>
      <c r="I14" s="70">
        <f>I15+I16+I20+I24+I25+I26+I29+I36</f>
        <v>61940372</v>
      </c>
      <c r="J14" s="70">
        <f>J15+J16+J20+J24+J25+J26+J29+J36</f>
        <v>62186639</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t="s">
        <v>2985</v>
      </c>
      <c r="I16" s="70">
        <f>SUM(I17:I19)</f>
        <v>26338753</v>
      </c>
      <c r="J16" s="70">
        <f>SUM(J17:J19)</f>
        <v>24567202</v>
      </c>
    </row>
    <row r="17" spans="1:10" s="2" customFormat="1" ht="13.5" customHeight="1">
      <c r="A17" s="409" t="s">
        <v>504</v>
      </c>
      <c r="B17" s="409"/>
      <c r="C17" s="409"/>
      <c r="D17" s="409"/>
      <c r="E17" s="409"/>
      <c r="F17" s="409"/>
      <c r="G17" s="19">
        <v>134</v>
      </c>
      <c r="H17" s="20" t="s">
        <v>2985</v>
      </c>
      <c r="I17" s="71">
        <v>11964905</v>
      </c>
      <c r="J17" s="71">
        <v>9947254</v>
      </c>
    </row>
    <row r="18" spans="1:10" s="2" customFormat="1" ht="13.5" customHeight="1">
      <c r="A18" s="409" t="s">
        <v>505</v>
      </c>
      <c r="B18" s="409"/>
      <c r="C18" s="409"/>
      <c r="D18" s="409"/>
      <c r="E18" s="409"/>
      <c r="F18" s="409"/>
      <c r="G18" s="19">
        <v>135</v>
      </c>
      <c r="H18" s="20" t="s">
        <v>2985</v>
      </c>
      <c r="I18" s="71">
        <v>651346</v>
      </c>
      <c r="J18" s="71">
        <v>649146</v>
      </c>
    </row>
    <row r="19" spans="1:10" s="2" customFormat="1" ht="13.5" customHeight="1">
      <c r="A19" s="409" t="s">
        <v>1426</v>
      </c>
      <c r="B19" s="409"/>
      <c r="C19" s="409"/>
      <c r="D19" s="409"/>
      <c r="E19" s="409"/>
      <c r="F19" s="409"/>
      <c r="G19" s="19">
        <v>136</v>
      </c>
      <c r="H19" s="20" t="s">
        <v>2985</v>
      </c>
      <c r="I19" s="71">
        <v>13722502</v>
      </c>
      <c r="J19" s="71">
        <v>13970802</v>
      </c>
    </row>
    <row r="20" spans="1:10" s="2" customFormat="1" ht="13.5" customHeight="1">
      <c r="A20" s="383" t="s">
        <v>1839</v>
      </c>
      <c r="B20" s="383"/>
      <c r="C20" s="383"/>
      <c r="D20" s="383"/>
      <c r="E20" s="383"/>
      <c r="F20" s="383"/>
      <c r="G20" s="19">
        <v>137</v>
      </c>
      <c r="H20" s="20" t="s">
        <v>2985</v>
      </c>
      <c r="I20" s="70">
        <f>SUM(I21:I23)</f>
        <v>25628392</v>
      </c>
      <c r="J20" s="70">
        <f>SUM(J21:J23)</f>
        <v>24973051</v>
      </c>
    </row>
    <row r="21" spans="1:10" s="2" customFormat="1" ht="13.5" customHeight="1">
      <c r="A21" s="409" t="s">
        <v>724</v>
      </c>
      <c r="B21" s="409"/>
      <c r="C21" s="409"/>
      <c r="D21" s="409"/>
      <c r="E21" s="409"/>
      <c r="F21" s="409"/>
      <c r="G21" s="19">
        <v>138</v>
      </c>
      <c r="H21" s="20" t="s">
        <v>2985</v>
      </c>
      <c r="I21" s="71">
        <v>16206682</v>
      </c>
      <c r="J21" s="71">
        <v>16014489</v>
      </c>
    </row>
    <row r="22" spans="1:10" s="2" customFormat="1" ht="13.5" customHeight="1">
      <c r="A22" s="409" t="s">
        <v>961</v>
      </c>
      <c r="B22" s="409"/>
      <c r="C22" s="409"/>
      <c r="D22" s="409"/>
      <c r="E22" s="409"/>
      <c r="F22" s="409"/>
      <c r="G22" s="19">
        <v>139</v>
      </c>
      <c r="H22" s="20" t="s">
        <v>2985</v>
      </c>
      <c r="I22" s="71">
        <v>5478336</v>
      </c>
      <c r="J22" s="71">
        <v>5304171</v>
      </c>
    </row>
    <row r="23" spans="1:10" s="2" customFormat="1" ht="13.5" customHeight="1">
      <c r="A23" s="409" t="s">
        <v>962</v>
      </c>
      <c r="B23" s="409"/>
      <c r="C23" s="409"/>
      <c r="D23" s="409"/>
      <c r="E23" s="409"/>
      <c r="F23" s="409"/>
      <c r="G23" s="19">
        <v>140</v>
      </c>
      <c r="H23" s="20" t="s">
        <v>2985</v>
      </c>
      <c r="I23" s="71">
        <v>3943374</v>
      </c>
      <c r="J23" s="71">
        <v>3654391</v>
      </c>
    </row>
    <row r="24" spans="1:10" s="2" customFormat="1" ht="13.5" customHeight="1">
      <c r="A24" s="383" t="s">
        <v>259</v>
      </c>
      <c r="B24" s="383"/>
      <c r="C24" s="383"/>
      <c r="D24" s="383"/>
      <c r="E24" s="383"/>
      <c r="F24" s="383"/>
      <c r="G24" s="19">
        <v>141</v>
      </c>
      <c r="H24" s="20" t="s">
        <v>2985</v>
      </c>
      <c r="I24" s="71">
        <v>4513760</v>
      </c>
      <c r="J24" s="71">
        <v>6202195</v>
      </c>
    </row>
    <row r="25" spans="1:10" s="2" customFormat="1" ht="13.5" customHeight="1">
      <c r="A25" s="383" t="s">
        <v>260</v>
      </c>
      <c r="B25" s="383"/>
      <c r="C25" s="383"/>
      <c r="D25" s="383"/>
      <c r="E25" s="383"/>
      <c r="F25" s="383"/>
      <c r="G25" s="19">
        <v>142</v>
      </c>
      <c r="H25" s="20" t="s">
        <v>2985</v>
      </c>
      <c r="I25" s="71">
        <v>3771608</v>
      </c>
      <c r="J25" s="71">
        <v>4974885</v>
      </c>
    </row>
    <row r="26" spans="1:12" s="2" customFormat="1" ht="13.5" customHeight="1">
      <c r="A26" s="383" t="s">
        <v>1840</v>
      </c>
      <c r="B26" s="383"/>
      <c r="C26" s="383"/>
      <c r="D26" s="383"/>
      <c r="E26" s="383"/>
      <c r="F26" s="383"/>
      <c r="G26" s="19">
        <v>143</v>
      </c>
      <c r="H26" s="20" t="s">
        <v>2985</v>
      </c>
      <c r="I26" s="70">
        <f>SUM(I27:I28)</f>
        <v>1386075</v>
      </c>
      <c r="J26" s="70">
        <f>SUM(J27:J28)</f>
        <v>916406</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t="s">
        <v>2985</v>
      </c>
      <c r="I28" s="71">
        <v>1386075</v>
      </c>
      <c r="J28" s="71">
        <v>916406</v>
      </c>
      <c r="L28" s="2" t="s">
        <v>2591</v>
      </c>
    </row>
    <row r="29" spans="1:12" s="2" customFormat="1" ht="13.5" customHeight="1">
      <c r="A29" s="383" t="s">
        <v>1841</v>
      </c>
      <c r="B29" s="383"/>
      <c r="C29" s="383"/>
      <c r="D29" s="383"/>
      <c r="E29" s="383"/>
      <c r="F29" s="383"/>
      <c r="G29" s="19">
        <v>146</v>
      </c>
      <c r="H29" s="20" t="s">
        <v>2985</v>
      </c>
      <c r="I29" s="70">
        <f>SUM(I30:I35)</f>
        <v>136883</v>
      </c>
      <c r="J29" s="70">
        <f>SUM(J30:J35)</f>
        <v>274697</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t="s">
        <v>2985</v>
      </c>
      <c r="I32" s="71">
        <v>136883</v>
      </c>
      <c r="J32" s="71">
        <v>274697</v>
      </c>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t="s">
        <v>2985</v>
      </c>
      <c r="I36" s="71">
        <v>164901</v>
      </c>
      <c r="J36" s="71">
        <v>278203</v>
      </c>
    </row>
    <row r="37" spans="1:10" s="2" customFormat="1" ht="13.5" customHeight="1">
      <c r="A37" s="381" t="s">
        <v>1842</v>
      </c>
      <c r="B37" s="381"/>
      <c r="C37" s="381"/>
      <c r="D37" s="381"/>
      <c r="E37" s="381"/>
      <c r="F37" s="381"/>
      <c r="G37" s="19">
        <v>154</v>
      </c>
      <c r="H37" s="20" t="s">
        <v>2984</v>
      </c>
      <c r="I37" s="70">
        <f>SUM(I38:I47)</f>
        <v>366288</v>
      </c>
      <c r="J37" s="70">
        <f>SUM(J38:J47)</f>
        <v>163686</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t="s">
        <v>2984</v>
      </c>
      <c r="I44" s="71">
        <v>252126</v>
      </c>
      <c r="J44" s="71">
        <v>162987</v>
      </c>
    </row>
    <row r="45" spans="1:10" s="2" customFormat="1" ht="13.5" customHeight="1">
      <c r="A45" s="383" t="s">
        <v>1428</v>
      </c>
      <c r="B45" s="383"/>
      <c r="C45" s="383"/>
      <c r="D45" s="383"/>
      <c r="E45" s="383"/>
      <c r="F45" s="383"/>
      <c r="G45" s="19">
        <v>162</v>
      </c>
      <c r="H45" s="20" t="s">
        <v>2984</v>
      </c>
      <c r="I45" s="71">
        <v>114162</v>
      </c>
      <c r="J45" s="71">
        <v>699</v>
      </c>
    </row>
    <row r="46" spans="1:10" s="2" customFormat="1" ht="13.5" customHeight="1">
      <c r="A46" s="383" t="s">
        <v>1427</v>
      </c>
      <c r="B46" s="383"/>
      <c r="C46" s="383"/>
      <c r="D46" s="383"/>
      <c r="E46" s="383"/>
      <c r="F46" s="383"/>
      <c r="G46" s="19">
        <v>163</v>
      </c>
      <c r="H46" s="20" t="s">
        <v>2984</v>
      </c>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t="s">
        <v>2985</v>
      </c>
      <c r="I48" s="70">
        <f>SUM(I49:I55)</f>
        <v>1007115</v>
      </c>
      <c r="J48" s="70">
        <f>SUM(J49:J55)</f>
        <v>744676</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t="s">
        <v>2985</v>
      </c>
      <c r="I51" s="71">
        <v>1006486</v>
      </c>
      <c r="J51" s="71">
        <v>708327</v>
      </c>
    </row>
    <row r="52" spans="1:10" s="2" customFormat="1" ht="13.5" customHeight="1">
      <c r="A52" s="403" t="s">
        <v>1439</v>
      </c>
      <c r="B52" s="403"/>
      <c r="C52" s="403"/>
      <c r="D52" s="403"/>
      <c r="E52" s="403"/>
      <c r="F52" s="403"/>
      <c r="G52" s="19">
        <v>169</v>
      </c>
      <c r="H52" s="20" t="s">
        <v>2985</v>
      </c>
      <c r="I52" s="71">
        <v>629</v>
      </c>
      <c r="J52" s="71">
        <v>36349</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t="s">
        <v>2984</v>
      </c>
      <c r="I60" s="70">
        <f>I8+I37+I56+I57</f>
        <v>63033325</v>
      </c>
      <c r="J60" s="70">
        <f>J8+J37+J56+J57</f>
        <v>63011764</v>
      </c>
    </row>
    <row r="61" spans="1:10" s="2" customFormat="1" ht="13.5" customHeight="1">
      <c r="A61" s="381" t="s">
        <v>1845</v>
      </c>
      <c r="B61" s="381"/>
      <c r="C61" s="381"/>
      <c r="D61" s="381"/>
      <c r="E61" s="381"/>
      <c r="F61" s="381"/>
      <c r="G61" s="19">
        <v>178</v>
      </c>
      <c r="H61" s="20" t="s">
        <v>2985</v>
      </c>
      <c r="I61" s="70">
        <f>I14+I48+I58+I59</f>
        <v>62947487</v>
      </c>
      <c r="J61" s="70">
        <f>J14+J48+J58+J59</f>
        <v>62931315</v>
      </c>
    </row>
    <row r="62" spans="1:12" s="2" customFormat="1" ht="13.5" customHeight="1">
      <c r="A62" s="381" t="s">
        <v>2581</v>
      </c>
      <c r="B62" s="381"/>
      <c r="C62" s="381"/>
      <c r="D62" s="381"/>
      <c r="E62" s="381"/>
      <c r="F62" s="381"/>
      <c r="G62" s="19">
        <v>179</v>
      </c>
      <c r="H62" s="20" t="s">
        <v>2986</v>
      </c>
      <c r="I62" s="70">
        <f>I60-I61</f>
        <v>85838</v>
      </c>
      <c r="J62" s="70">
        <f>J60-J61</f>
        <v>80449</v>
      </c>
      <c r="L62" s="2" t="s">
        <v>2591</v>
      </c>
    </row>
    <row r="63" spans="1:10" s="2" customFormat="1" ht="13.5" customHeight="1">
      <c r="A63" s="403" t="s">
        <v>2658</v>
      </c>
      <c r="B63" s="403"/>
      <c r="C63" s="403"/>
      <c r="D63" s="403"/>
      <c r="E63" s="403"/>
      <c r="F63" s="403"/>
      <c r="G63" s="19">
        <v>180</v>
      </c>
      <c r="H63" s="20" t="s">
        <v>2986</v>
      </c>
      <c r="I63" s="70">
        <f>IF(I60&gt;I61,I60-I61,0)</f>
        <v>85838</v>
      </c>
      <c r="J63" s="70">
        <f>IF(J60&gt;J61,J60-J61,0)</f>
        <v>80449</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c r="J65" s="71"/>
      <c r="L65" s="2" t="s">
        <v>2591</v>
      </c>
    </row>
    <row r="66" spans="1:12" s="2" customFormat="1" ht="13.5" customHeight="1">
      <c r="A66" s="381" t="s">
        <v>2582</v>
      </c>
      <c r="B66" s="381"/>
      <c r="C66" s="381"/>
      <c r="D66" s="381"/>
      <c r="E66" s="381"/>
      <c r="F66" s="381"/>
      <c r="G66" s="19">
        <v>183</v>
      </c>
      <c r="H66" s="20" t="s">
        <v>2986</v>
      </c>
      <c r="I66" s="70">
        <f>I62-I65</f>
        <v>85838</v>
      </c>
      <c r="J66" s="70">
        <f>J62-J65</f>
        <v>80449</v>
      </c>
      <c r="L66" s="2" t="s">
        <v>2591</v>
      </c>
    </row>
    <row r="67" spans="1:10" s="2" customFormat="1" ht="13.5" customHeight="1">
      <c r="A67" s="403" t="s">
        <v>779</v>
      </c>
      <c r="B67" s="403"/>
      <c r="C67" s="403"/>
      <c r="D67" s="403"/>
      <c r="E67" s="403"/>
      <c r="F67" s="403"/>
      <c r="G67" s="19">
        <v>184</v>
      </c>
      <c r="H67" s="20" t="s">
        <v>2986</v>
      </c>
      <c r="I67" s="70">
        <f>IF(I66&gt;0,I66,0)</f>
        <v>85838</v>
      </c>
      <c r="J67" s="70">
        <f>IF(J66&gt;0,J66,0)</f>
        <v>80449</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54:J54 I62:J62 I65:J66 I70:J70 I73:J73 I77:J77 I89:J101 I85:J87 I80:J81 I26:J35">
    <cfRule type="cellIs" priority="1" dxfId="2" operator="notEqual" stopIfTrue="1">
      <formula>ROUND(I15,0)</formula>
    </cfRule>
  </conditionalFormatting>
  <conditionalFormatting sqref="I78:J79 I67:J68 I74:J75 I82:J83 I55:J61 I63:J64 I71:J72 I36:J53 I8:J14 I16:J25">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31" activePane="bottomLeft" state="frozen"/>
      <selection pane="topLeft" activeCell="A1" sqref="A1"/>
      <selection pane="bottomLeft" activeCell="J86" sqref="J8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17055681355; KOMUNALAC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57810820</v>
      </c>
      <c r="J25" s="94">
        <v>58284505</v>
      </c>
    </row>
    <row r="26" spans="1:10" s="2" customFormat="1" ht="24.75" customHeight="1">
      <c r="A26" s="403" t="s">
        <v>2215</v>
      </c>
      <c r="B26" s="403"/>
      <c r="C26" s="403"/>
      <c r="D26" s="403"/>
      <c r="E26" s="403"/>
      <c r="F26" s="403"/>
      <c r="G26" s="443"/>
      <c r="H26" s="19">
        <v>232</v>
      </c>
      <c r="I26" s="77">
        <v>932678</v>
      </c>
      <c r="J26" s="77">
        <v>919211</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v>2130266</v>
      </c>
      <c r="J34" s="77">
        <v>1895064</v>
      </c>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60873764</v>
      </c>
      <c r="J37" s="94">
        <v>61098780</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2650530</v>
      </c>
      <c r="J50" s="77">
        <v>2583065</v>
      </c>
    </row>
    <row r="51" spans="1:10" s="2" customFormat="1" ht="24.75" customHeight="1">
      <c r="A51" s="403" t="s">
        <v>2219</v>
      </c>
      <c r="B51" s="403"/>
      <c r="C51" s="403"/>
      <c r="D51" s="403"/>
      <c r="E51" s="403"/>
      <c r="F51" s="403"/>
      <c r="G51" s="443"/>
      <c r="H51" s="19">
        <v>253</v>
      </c>
      <c r="I51" s="77">
        <v>1</v>
      </c>
      <c r="J51" s="77">
        <v>1</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293233</v>
      </c>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72914</v>
      </c>
      <c r="J57" s="77">
        <v>92077</v>
      </c>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387831</v>
      </c>
      <c r="J60" s="77">
        <v>434810</v>
      </c>
    </row>
    <row r="61" spans="1:10" s="2" customFormat="1" ht="13.5" customHeight="1">
      <c r="A61" s="444" t="s">
        <v>2445</v>
      </c>
      <c r="B61" s="444"/>
      <c r="C61" s="444"/>
      <c r="D61" s="444"/>
      <c r="E61" s="444"/>
      <c r="F61" s="444"/>
      <c r="G61" s="445"/>
      <c r="H61" s="19">
        <v>263</v>
      </c>
      <c r="I61" s="77">
        <v>368124</v>
      </c>
      <c r="J61" s="77">
        <v>413575</v>
      </c>
    </row>
    <row r="62" spans="1:10" s="2" customFormat="1" ht="13.5" customHeight="1">
      <c r="A62" s="403" t="s">
        <v>2439</v>
      </c>
      <c r="B62" s="403"/>
      <c r="C62" s="403"/>
      <c r="D62" s="403"/>
      <c r="E62" s="403"/>
      <c r="F62" s="403"/>
      <c r="G62" s="443"/>
      <c r="H62" s="19">
        <v>264</v>
      </c>
      <c r="I62" s="77">
        <v>301896</v>
      </c>
      <c r="J62" s="77">
        <v>343923</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v>120702</v>
      </c>
      <c r="J64" s="77">
        <v>120702</v>
      </c>
    </row>
    <row r="65" spans="1:10" s="2" customFormat="1" ht="13.5" customHeight="1">
      <c r="A65" s="403" t="s">
        <v>2442</v>
      </c>
      <c r="B65" s="403"/>
      <c r="C65" s="403"/>
      <c r="D65" s="403"/>
      <c r="E65" s="403"/>
      <c r="F65" s="403"/>
      <c r="G65" s="443"/>
      <c r="H65" s="19">
        <v>267</v>
      </c>
      <c r="I65" s="77">
        <v>1937365</v>
      </c>
      <c r="J65" s="77">
        <v>2656889</v>
      </c>
    </row>
    <row r="66" spans="1:10" s="2" customFormat="1" ht="13.5" customHeight="1">
      <c r="A66" s="444" t="s">
        <v>2903</v>
      </c>
      <c r="B66" s="444"/>
      <c r="C66" s="444"/>
      <c r="D66" s="444"/>
      <c r="E66" s="444"/>
      <c r="F66" s="444"/>
      <c r="G66" s="445"/>
      <c r="H66" s="19">
        <v>268</v>
      </c>
      <c r="I66" s="77">
        <v>40000</v>
      </c>
      <c r="J66" s="77">
        <v>40000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252126</v>
      </c>
      <c r="J73" s="94">
        <v>162987</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1000107</v>
      </c>
      <c r="J76" s="78">
        <v>708328</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5474897</v>
      </c>
      <c r="J78" s="228">
        <f>SUM(J79:J82)</f>
        <v>2770937</v>
      </c>
    </row>
    <row r="79" spans="1:10" s="2" customFormat="1" ht="13.5" customHeight="1">
      <c r="A79" s="403" t="s">
        <v>629</v>
      </c>
      <c r="B79" s="403"/>
      <c r="C79" s="403"/>
      <c r="D79" s="403"/>
      <c r="E79" s="403"/>
      <c r="F79" s="403"/>
      <c r="G79" s="443"/>
      <c r="H79" s="19">
        <v>279</v>
      </c>
      <c r="I79" s="77">
        <v>375906</v>
      </c>
      <c r="J79" s="77"/>
    </row>
    <row r="80" spans="1:10" s="2" customFormat="1" ht="13.5" customHeight="1">
      <c r="A80" s="403" t="s">
        <v>630</v>
      </c>
      <c r="B80" s="403"/>
      <c r="C80" s="403"/>
      <c r="D80" s="403"/>
      <c r="E80" s="403"/>
      <c r="F80" s="403"/>
      <c r="G80" s="443"/>
      <c r="H80" s="19">
        <v>280</v>
      </c>
      <c r="I80" s="77">
        <v>1589037</v>
      </c>
      <c r="J80" s="77">
        <v>999257</v>
      </c>
    </row>
    <row r="81" spans="1:10" s="2" customFormat="1" ht="13.5" customHeight="1">
      <c r="A81" s="403" t="s">
        <v>1</v>
      </c>
      <c r="B81" s="403"/>
      <c r="C81" s="403"/>
      <c r="D81" s="403"/>
      <c r="E81" s="403"/>
      <c r="F81" s="403"/>
      <c r="G81" s="443"/>
      <c r="H81" s="19">
        <v>281</v>
      </c>
      <c r="I81" s="77">
        <v>3462110</v>
      </c>
      <c r="J81" s="77">
        <v>1241260</v>
      </c>
    </row>
    <row r="82" spans="1:10" s="2" customFormat="1" ht="36" customHeight="1">
      <c r="A82" s="403" t="s">
        <v>4</v>
      </c>
      <c r="B82" s="403"/>
      <c r="C82" s="403"/>
      <c r="D82" s="403"/>
      <c r="E82" s="403"/>
      <c r="F82" s="403"/>
      <c r="G82" s="443"/>
      <c r="H82" s="19">
        <v>282</v>
      </c>
      <c r="I82" s="77">
        <v>47844</v>
      </c>
      <c r="J82" s="77">
        <v>530420</v>
      </c>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v>5296860</v>
      </c>
      <c r="J85" s="77">
        <v>2770937</v>
      </c>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17055681355; KOMUNALAC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H11" sqref="H1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1</v>
      </c>
      <c r="R1" s="73" t="s">
        <v>539</v>
      </c>
    </row>
    <row r="2" spans="1:18" s="2" customFormat="1" ht="19.5" customHeight="1">
      <c r="A2" s="432" t="s">
        <v>1455</v>
      </c>
      <c r="B2" s="433"/>
      <c r="C2" s="433"/>
      <c r="D2" s="433"/>
      <c r="E2" s="433"/>
      <c r="F2" s="433"/>
      <c r="G2" s="433"/>
      <c r="H2" s="433"/>
      <c r="I2" s="434"/>
      <c r="J2" s="388" t="s">
        <v>2595</v>
      </c>
      <c r="Q2" s="74">
        <f>IF(OR(MIN(I8:I52)&lt;0,MAX(I8:I52)&gt;0),1,0)</f>
        <v>1</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1</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17055681355; KOMUNALAC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t="s">
        <v>2965</v>
      </c>
      <c r="I9" s="94">
        <v>100521159</v>
      </c>
      <c r="J9" s="94">
        <v>98850319</v>
      </c>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t="s">
        <v>2965</v>
      </c>
      <c r="I11" s="77"/>
      <c r="J11" s="77">
        <v>70120</v>
      </c>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t="s">
        <v>2965</v>
      </c>
      <c r="I13" s="77">
        <v>-37333031</v>
      </c>
      <c r="J13" s="77">
        <v>-33230323</v>
      </c>
    </row>
    <row r="14" spans="1:10" s="2" customFormat="1" ht="13.5" customHeight="1">
      <c r="A14" s="403" t="s">
        <v>1420</v>
      </c>
      <c r="B14" s="403"/>
      <c r="C14" s="403"/>
      <c r="D14" s="403"/>
      <c r="E14" s="403"/>
      <c r="F14" s="403"/>
      <c r="G14" s="19">
        <v>6</v>
      </c>
      <c r="H14" s="23" t="s">
        <v>2965</v>
      </c>
      <c r="I14" s="77">
        <v>-28254035</v>
      </c>
      <c r="J14" s="77">
        <v>-28197798</v>
      </c>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t="s">
        <v>2965</v>
      </c>
      <c r="I16" s="77">
        <v>-31483050</v>
      </c>
      <c r="J16" s="77">
        <v>-33895030</v>
      </c>
    </row>
    <row r="17" spans="1:10" s="2" customFormat="1" ht="13.5" customHeight="1">
      <c r="A17" s="406" t="s">
        <v>2525</v>
      </c>
      <c r="B17" s="406"/>
      <c r="C17" s="406"/>
      <c r="D17" s="406"/>
      <c r="E17" s="406"/>
      <c r="F17" s="406"/>
      <c r="G17" s="19">
        <v>9</v>
      </c>
      <c r="H17" s="23" t="s">
        <v>2965</v>
      </c>
      <c r="I17" s="86">
        <f>SUM(I9:I16)</f>
        <v>3451043</v>
      </c>
      <c r="J17" s="86">
        <f>SUM(J9:J16)</f>
        <v>3597288</v>
      </c>
    </row>
    <row r="18" spans="1:10" s="2" customFormat="1" ht="13.5" customHeight="1">
      <c r="A18" s="403" t="s">
        <v>1829</v>
      </c>
      <c r="B18" s="403"/>
      <c r="C18" s="403"/>
      <c r="D18" s="403"/>
      <c r="E18" s="403"/>
      <c r="F18" s="403"/>
      <c r="G18" s="19">
        <v>10</v>
      </c>
      <c r="H18" s="23" t="s">
        <v>2965</v>
      </c>
      <c r="I18" s="77">
        <v>-706668</v>
      </c>
      <c r="J18" s="77">
        <v>-385855</v>
      </c>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t="s">
        <v>2965</v>
      </c>
      <c r="I20" s="87">
        <f>SUM(I17:I19)</f>
        <v>2744375</v>
      </c>
      <c r="J20" s="87">
        <f>SUM(J17:J19)</f>
        <v>3211433</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t="s">
        <v>2965</v>
      </c>
      <c r="I22" s="94">
        <v>4956</v>
      </c>
      <c r="J22" s="94">
        <v>4712</v>
      </c>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t="s">
        <v>2965</v>
      </c>
      <c r="I26" s="77">
        <v>83911</v>
      </c>
      <c r="J26" s="77">
        <v>48764</v>
      </c>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t="s">
        <v>2965</v>
      </c>
      <c r="I28" s="86">
        <f>SUM(I22:I27)</f>
        <v>88867</v>
      </c>
      <c r="J28" s="86">
        <f>SUM(J22:J27)</f>
        <v>53476</v>
      </c>
    </row>
    <row r="29" spans="1:10" s="2" customFormat="1" ht="15" customHeight="1">
      <c r="A29" s="403" t="s">
        <v>442</v>
      </c>
      <c r="B29" s="403"/>
      <c r="C29" s="403"/>
      <c r="D29" s="403"/>
      <c r="E29" s="403"/>
      <c r="F29" s="403"/>
      <c r="G29" s="19">
        <v>20</v>
      </c>
      <c r="H29" s="23" t="s">
        <v>2965</v>
      </c>
      <c r="I29" s="77">
        <v>-132861</v>
      </c>
      <c r="J29" s="77">
        <v>-159728</v>
      </c>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t="s">
        <v>2965</v>
      </c>
      <c r="I31" s="77">
        <v>-50330</v>
      </c>
      <c r="J31" s="77">
        <v>0</v>
      </c>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v>-39200</v>
      </c>
      <c r="J33" s="77">
        <v>0</v>
      </c>
    </row>
    <row r="34" spans="1:10" s="2" customFormat="1" ht="15" customHeight="1">
      <c r="A34" s="406" t="s">
        <v>2119</v>
      </c>
      <c r="B34" s="406"/>
      <c r="C34" s="406"/>
      <c r="D34" s="406"/>
      <c r="E34" s="406"/>
      <c r="F34" s="406"/>
      <c r="G34" s="19">
        <v>25</v>
      </c>
      <c r="H34" s="23" t="s">
        <v>2965</v>
      </c>
      <c r="I34" s="86">
        <f>SUM(I29:I33)</f>
        <v>-222391</v>
      </c>
      <c r="J34" s="86">
        <f>SUM(J29:J33)</f>
        <v>-159728</v>
      </c>
    </row>
    <row r="35" spans="1:10" s="2" customFormat="1" ht="15" customHeight="1">
      <c r="A35" s="449" t="s">
        <v>11</v>
      </c>
      <c r="B35" s="449"/>
      <c r="C35" s="449"/>
      <c r="D35" s="449"/>
      <c r="E35" s="449"/>
      <c r="F35" s="449"/>
      <c r="G35" s="21">
        <v>26</v>
      </c>
      <c r="H35" s="24" t="s">
        <v>2965</v>
      </c>
      <c r="I35" s="87">
        <f>I28+I34</f>
        <v>-133524</v>
      </c>
      <c r="J35" s="87">
        <f>J28+J34</f>
        <v>-106252</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t="s">
        <v>2965</v>
      </c>
      <c r="I37" s="94">
        <v>3100000</v>
      </c>
      <c r="J37" s="94">
        <v>3000000</v>
      </c>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t="s">
        <v>2965</v>
      </c>
      <c r="I39" s="77">
        <v>9841</v>
      </c>
      <c r="J39" s="77">
        <v>254079</v>
      </c>
    </row>
    <row r="40" spans="1:10" s="2" customFormat="1" ht="13.5" customHeight="1">
      <c r="A40" s="383" t="s">
        <v>450</v>
      </c>
      <c r="B40" s="383"/>
      <c r="C40" s="383"/>
      <c r="D40" s="383"/>
      <c r="E40" s="383"/>
      <c r="F40" s="383"/>
      <c r="G40" s="19">
        <v>30</v>
      </c>
      <c r="H40" s="23" t="s">
        <v>2965</v>
      </c>
      <c r="I40" s="77">
        <v>99193</v>
      </c>
      <c r="J40" s="77">
        <v>38856</v>
      </c>
    </row>
    <row r="41" spans="1:10" s="2" customFormat="1" ht="15" customHeight="1">
      <c r="A41" s="406" t="s">
        <v>451</v>
      </c>
      <c r="B41" s="406"/>
      <c r="C41" s="406"/>
      <c r="D41" s="406"/>
      <c r="E41" s="406"/>
      <c r="F41" s="406"/>
      <c r="G41" s="19">
        <v>31</v>
      </c>
      <c r="H41" s="23" t="s">
        <v>2965</v>
      </c>
      <c r="I41" s="86">
        <f>SUM(I37:I40)</f>
        <v>3209034</v>
      </c>
      <c r="J41" s="86">
        <f>SUM(J37:J40)</f>
        <v>3292935</v>
      </c>
    </row>
    <row r="42" spans="1:10" s="2" customFormat="1" ht="25.5" customHeight="1">
      <c r="A42" s="383" t="s">
        <v>452</v>
      </c>
      <c r="B42" s="383"/>
      <c r="C42" s="383"/>
      <c r="D42" s="383"/>
      <c r="E42" s="383"/>
      <c r="F42" s="383"/>
      <c r="G42" s="19">
        <v>32</v>
      </c>
      <c r="H42" s="23" t="s">
        <v>2965</v>
      </c>
      <c r="I42" s="77">
        <v>-5612710</v>
      </c>
      <c r="J42" s="77">
        <v>-5885090</v>
      </c>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t="s">
        <v>2965</v>
      </c>
      <c r="I46" s="77">
        <v>-182013</v>
      </c>
      <c r="J46" s="77">
        <v>-11362</v>
      </c>
    </row>
    <row r="47" spans="1:10" s="2" customFormat="1" ht="15" customHeight="1">
      <c r="A47" s="406" t="s">
        <v>1835</v>
      </c>
      <c r="B47" s="406"/>
      <c r="C47" s="406"/>
      <c r="D47" s="406"/>
      <c r="E47" s="406"/>
      <c r="F47" s="406"/>
      <c r="G47" s="19">
        <v>37</v>
      </c>
      <c r="H47" s="23" t="s">
        <v>2965</v>
      </c>
      <c r="I47" s="86">
        <f>SUM(I42:I46)</f>
        <v>-5794723</v>
      </c>
      <c r="J47" s="86">
        <f>SUM(J42:J46)</f>
        <v>-5896452</v>
      </c>
    </row>
    <row r="48" spans="1:10" s="2" customFormat="1" ht="15" customHeight="1">
      <c r="A48" s="405" t="s">
        <v>12</v>
      </c>
      <c r="B48" s="405"/>
      <c r="C48" s="405"/>
      <c r="D48" s="405"/>
      <c r="E48" s="405"/>
      <c r="F48" s="405"/>
      <c r="G48" s="19">
        <v>38</v>
      </c>
      <c r="H48" s="23" t="s">
        <v>2965</v>
      </c>
      <c r="I48" s="86">
        <f>I41+I47</f>
        <v>-2585689</v>
      </c>
      <c r="J48" s="86">
        <f>J41+J47</f>
        <v>-2603517</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t="s">
        <v>2965</v>
      </c>
      <c r="I50" s="86">
        <f>I20+I35+I48+I49</f>
        <v>25162</v>
      </c>
      <c r="J50" s="86">
        <f>J20+J35+J48+J49</f>
        <v>501664</v>
      </c>
    </row>
    <row r="51" spans="1:10" s="2" customFormat="1" ht="13.5" customHeight="1">
      <c r="A51" s="405" t="s">
        <v>2429</v>
      </c>
      <c r="B51" s="405"/>
      <c r="C51" s="405"/>
      <c r="D51" s="405"/>
      <c r="E51" s="405"/>
      <c r="F51" s="405"/>
      <c r="G51" s="19">
        <v>41</v>
      </c>
      <c r="H51" s="23" t="s">
        <v>2965</v>
      </c>
      <c r="I51" s="77">
        <v>2239588</v>
      </c>
      <c r="J51" s="77">
        <v>2264750</v>
      </c>
    </row>
    <row r="52" spans="1:10" s="2" customFormat="1" ht="13.5" customHeight="1">
      <c r="A52" s="449" t="s">
        <v>13</v>
      </c>
      <c r="B52" s="449"/>
      <c r="C52" s="449"/>
      <c r="D52" s="449"/>
      <c r="E52" s="449"/>
      <c r="F52" s="449"/>
      <c r="G52" s="21">
        <v>42</v>
      </c>
      <c r="H52" s="24" t="s">
        <v>2965</v>
      </c>
      <c r="I52" s="87">
        <f>I50+I51</f>
        <v>2264750</v>
      </c>
      <c r="J52" s="87">
        <f>J50+J51</f>
        <v>2766414</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B1">
      <pane ySplit="1" topLeftCell="A8" activePane="bottomLeft" state="frozen"/>
      <selection pane="topLeft" activeCell="A1" sqref="A1"/>
      <selection pane="bottomLeft" activeCell="T42" sqref="T42"/>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1</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17055681355; KOMUNALAC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t="s">
        <v>2966</v>
      </c>
      <c r="I10" s="25">
        <v>54321400</v>
      </c>
      <c r="J10" s="25"/>
      <c r="K10" s="25"/>
      <c r="L10" s="25"/>
      <c r="M10" s="25"/>
      <c r="N10" s="25"/>
      <c r="O10" s="25">
        <v>721591</v>
      </c>
      <c r="P10" s="25"/>
      <c r="Q10" s="25"/>
      <c r="R10" s="25"/>
      <c r="S10" s="25"/>
      <c r="T10" s="25">
        <v>-6657451</v>
      </c>
      <c r="U10" s="25"/>
      <c r="V10" s="207">
        <f>SUM(I10:L10)-M10+SUM(N10:U10)</f>
        <v>48385540</v>
      </c>
      <c r="W10" s="25"/>
      <c r="X10" s="207">
        <f>W10+V10</f>
        <v>48385540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54321400</v>
      </c>
      <c r="J13" s="207">
        <f aca="true" t="shared" si="2" ref="J13:U13">SUM(J10:J12)</f>
        <v>0</v>
      </c>
      <c r="K13" s="207">
        <f t="shared" si="2"/>
        <v>0</v>
      </c>
      <c r="L13" s="207">
        <f t="shared" si="2"/>
        <v>0</v>
      </c>
      <c r="M13" s="207">
        <f t="shared" si="2"/>
        <v>0</v>
      </c>
      <c r="N13" s="207">
        <f t="shared" si="2"/>
        <v>0</v>
      </c>
      <c r="O13" s="207">
        <f t="shared" si="2"/>
        <v>721591</v>
      </c>
      <c r="P13" s="207">
        <f t="shared" si="2"/>
        <v>0</v>
      </c>
      <c r="Q13" s="207">
        <f t="shared" si="2"/>
        <v>0</v>
      </c>
      <c r="R13" s="207">
        <f t="shared" si="2"/>
        <v>0</v>
      </c>
      <c r="S13" s="207">
        <f t="shared" si="2"/>
        <v>0</v>
      </c>
      <c r="T13" s="207">
        <f t="shared" si="2"/>
        <v>-6657451</v>
      </c>
      <c r="U13" s="207">
        <f t="shared" si="2"/>
        <v>0</v>
      </c>
      <c r="V13" s="207">
        <f t="shared" si="0"/>
        <v>48385540</v>
      </c>
      <c r="W13" s="207">
        <f>SUM(W10:W12)</f>
        <v>0</v>
      </c>
      <c r="X13" s="207">
        <f t="shared" si="1"/>
        <v>48385540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v>85838</v>
      </c>
      <c r="V14" s="207">
        <f t="shared" si="0"/>
        <v>85838</v>
      </c>
      <c r="W14" s="25"/>
      <c r="X14" s="207">
        <f t="shared" si="1"/>
        <v>85838</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v>3100000</v>
      </c>
      <c r="J26" s="25"/>
      <c r="K26" s="25"/>
      <c r="L26" s="25"/>
      <c r="M26" s="25"/>
      <c r="N26" s="25"/>
      <c r="O26" s="25"/>
      <c r="P26" s="25"/>
      <c r="Q26" s="25"/>
      <c r="R26" s="25"/>
      <c r="S26" s="25"/>
      <c r="T26" s="25"/>
      <c r="U26" s="25"/>
      <c r="V26" s="207">
        <f t="shared" si="0"/>
        <v>3100000</v>
      </c>
      <c r="W26" s="25"/>
      <c r="X26" s="207">
        <f t="shared" si="1"/>
        <v>3100000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57421400</v>
      </c>
      <c r="J32" s="206">
        <f aca="true" t="shared" si="3" ref="J32:U32">SUM(J13:J31)</f>
        <v>0</v>
      </c>
      <c r="K32" s="206">
        <f t="shared" si="3"/>
        <v>0</v>
      </c>
      <c r="L32" s="206">
        <f t="shared" si="3"/>
        <v>0</v>
      </c>
      <c r="M32" s="206">
        <f t="shared" si="3"/>
        <v>0</v>
      </c>
      <c r="N32" s="206">
        <f t="shared" si="3"/>
        <v>0</v>
      </c>
      <c r="O32" s="206">
        <f t="shared" si="3"/>
        <v>721591</v>
      </c>
      <c r="P32" s="206">
        <f t="shared" si="3"/>
        <v>0</v>
      </c>
      <c r="Q32" s="206">
        <f t="shared" si="3"/>
        <v>0</v>
      </c>
      <c r="R32" s="206">
        <f t="shared" si="3"/>
        <v>0</v>
      </c>
      <c r="S32" s="206">
        <f t="shared" si="3"/>
        <v>0</v>
      </c>
      <c r="T32" s="206">
        <f t="shared" si="3"/>
        <v>-6657451</v>
      </c>
      <c r="U32" s="206">
        <f t="shared" si="3"/>
        <v>85838</v>
      </c>
      <c r="V32" s="206">
        <f t="shared" si="0"/>
        <v>51571378</v>
      </c>
      <c r="W32" s="206">
        <f>SUM(W13:W31)</f>
        <v>0</v>
      </c>
      <c r="X32" s="206">
        <f t="shared" si="1"/>
        <v>51571378</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3100000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v>57421400</v>
      </c>
      <c r="J38" s="25"/>
      <c r="K38" s="25"/>
      <c r="L38" s="25"/>
      <c r="M38" s="25"/>
      <c r="N38" s="25"/>
      <c r="O38" s="25">
        <v>721591</v>
      </c>
      <c r="P38" s="25"/>
      <c r="Q38" s="25"/>
      <c r="R38" s="25"/>
      <c r="S38" s="25"/>
      <c r="T38" s="25">
        <v>-6571613</v>
      </c>
      <c r="U38" s="25"/>
      <c r="V38" s="207">
        <f aca="true" t="shared" si="10" ref="V38:V60">SUM(I38:L38)-M38+SUM(N38:U38)</f>
        <v>51571378</v>
      </c>
      <c r="W38" s="25"/>
      <c r="X38" s="207">
        <f t="shared" si="1"/>
        <v>51571378</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57421400</v>
      </c>
      <c r="J41" s="207">
        <f t="shared" si="11"/>
        <v>0</v>
      </c>
      <c r="K41" s="207">
        <f t="shared" si="11"/>
        <v>0</v>
      </c>
      <c r="L41" s="207">
        <f t="shared" si="11"/>
        <v>0</v>
      </c>
      <c r="M41" s="207">
        <f t="shared" si="11"/>
        <v>0</v>
      </c>
      <c r="N41" s="207">
        <f t="shared" si="11"/>
        <v>0</v>
      </c>
      <c r="O41" s="207">
        <f t="shared" si="11"/>
        <v>721591</v>
      </c>
      <c r="P41" s="207">
        <f t="shared" si="11"/>
        <v>0</v>
      </c>
      <c r="Q41" s="207">
        <f t="shared" si="11"/>
        <v>0</v>
      </c>
      <c r="R41" s="207">
        <f t="shared" si="11"/>
        <v>0</v>
      </c>
      <c r="S41" s="207">
        <f t="shared" si="11"/>
        <v>0</v>
      </c>
      <c r="T41" s="207">
        <f t="shared" si="11"/>
        <v>-6571613</v>
      </c>
      <c r="U41" s="207">
        <f t="shared" si="11"/>
        <v>0</v>
      </c>
      <c r="V41" s="207">
        <f t="shared" si="10"/>
        <v>51571378</v>
      </c>
      <c r="W41" s="207">
        <f>SUM(W38:W40)</f>
        <v>0</v>
      </c>
      <c r="X41" s="207">
        <f>W41+V41</f>
        <v>51571378</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v>80449</v>
      </c>
      <c r="V42" s="207">
        <f t="shared" si="10"/>
        <v>80449</v>
      </c>
      <c r="W42" s="25"/>
      <c r="X42" s="207">
        <f t="shared" si="1"/>
        <v>80449</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v>3000000</v>
      </c>
      <c r="J52" s="25"/>
      <c r="K52" s="25"/>
      <c r="L52" s="25"/>
      <c r="M52" s="25"/>
      <c r="N52" s="25"/>
      <c r="O52" s="25"/>
      <c r="P52" s="25"/>
      <c r="Q52" s="25"/>
      <c r="R52" s="25"/>
      <c r="S52" s="25"/>
      <c r="T52" s="25"/>
      <c r="U52" s="25"/>
      <c r="V52" s="207">
        <f t="shared" si="10"/>
        <v>3000000</v>
      </c>
      <c r="W52" s="25"/>
      <c r="X52" s="207">
        <f t="shared" si="1"/>
        <v>3000000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60421400</v>
      </c>
      <c r="J60" s="206">
        <f t="shared" si="12"/>
        <v>0</v>
      </c>
      <c r="K60" s="206">
        <f t="shared" si="12"/>
        <v>0</v>
      </c>
      <c r="L60" s="206">
        <f t="shared" si="12"/>
        <v>0</v>
      </c>
      <c r="M60" s="206">
        <f t="shared" si="12"/>
        <v>0</v>
      </c>
      <c r="N60" s="206">
        <f t="shared" si="12"/>
        <v>0</v>
      </c>
      <c r="O60" s="206">
        <f t="shared" si="12"/>
        <v>721591</v>
      </c>
      <c r="P60" s="206">
        <f t="shared" si="12"/>
        <v>0</v>
      </c>
      <c r="Q60" s="206">
        <f t="shared" si="12"/>
        <v>0</v>
      </c>
      <c r="R60" s="206">
        <f t="shared" si="12"/>
        <v>0</v>
      </c>
      <c r="S60" s="206">
        <f t="shared" si="12"/>
        <v>0</v>
      </c>
      <c r="T60" s="206">
        <f t="shared" si="12"/>
        <v>-6571613</v>
      </c>
      <c r="U60" s="206">
        <f t="shared" si="12"/>
        <v>80449</v>
      </c>
      <c r="V60" s="206">
        <f t="shared" si="10"/>
        <v>54651827</v>
      </c>
      <c r="W60" s="206">
        <f>SUM(W41:W59)</f>
        <v>0</v>
      </c>
      <c r="X60" s="206">
        <f t="shared" si="1"/>
        <v>54651827</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3000000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Ljerka Duvnjak</cp:lastModifiedBy>
  <cp:lastPrinted>2021-03-12T08:59:37Z</cp:lastPrinted>
  <dcterms:created xsi:type="dcterms:W3CDTF">2008-10-17T11:51:54Z</dcterms:created>
  <dcterms:modified xsi:type="dcterms:W3CDTF">2021-03-12T09:03:17Z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