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firstSheet="1" activeTab="8"/>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<sst xmlns="http://schemas.openxmlformats.org/spreadsheetml/2006/main" count="3789" uniqueCount="2987">
  <si>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</si>
  <si>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</si>
  <si>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</si>
  <si>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</si>
  <si>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</si>
  <si>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</si>
  <si>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</si>
  <si>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</si>
  <si>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</si>
  <si>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</si>
  <si>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</si>
  <si>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</si>
  <si>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</si>
  <si>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</si>
  <si>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</si>
  <si>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</si>
  <si>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</si>
  <si>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</si>
  <si>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</si>
  <si>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</si>
  <si>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</si>
  <si>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</si>
  <si>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</si>
  <si>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</si>
  <si>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</si>
  <si>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</si>
  <si>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</si>
  <si>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</si>
  <si>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</si>
  <si>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</si>
  <si>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</si>
  <si>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</si>
  <si>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</si>
  <si>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</si>
  <si>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</si>
  <si>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</si>
  <si>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</si>
  <si>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</si>
  <si>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</si>
  <si>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</si>
  <si>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</si>
  <si>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</si>
  <si>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</si>
  <si>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</si>
  <si>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</si>
  <si>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</si>
  <si>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</si>
  <si>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</si>
  <si>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</si>
  <si>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</si>
  <si>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</si>
  <si>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</si>
  <si>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</si>
  <si>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</si>
  <si>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</si>
  <si>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</si>
  <si>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</si>
  <si>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</si>
  <si>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</si>
  <si>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</si>
  <si>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</si>
  <si>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</si>
  <si>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</si>
  <si>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</si>
  <si>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</si>
  <si>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</si>
  <si>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</si>
  <si>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</si>
  <si>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</si>
  <si>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</si>
  <si>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</si>
  <si>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</si>
  <si>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</si>
  <si>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</si>
  <si>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</si>
  <si>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</si>
  <si>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</si>
  <si>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</si>
  <si>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</si>
  <si>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</si>
  <si>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</si>
  <si>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</si>
  <si>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</si>
  <si>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</si>
  <si>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</si>
  <si>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</si>
  <si>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</si>
  <si>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</si>
  <si>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</si>
  <si>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</si>
  <si>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</si>
  <si>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</si>
  <si>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</si>
  <si>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</si>
  <si>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</si>
  <si>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</si>
  <si>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</si>
  <si>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</si>
  <si>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</si>
  <si>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</si>
  <si>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</si>
  <si>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</si>
  <si>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</si>
  <si>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</si>
  <si>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</si>
  <si>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</si>
  <si>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</si>
  <si>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</si>
  <si>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</si>
  <si>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</si>
  <si>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</si>
  <si>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</si>
  <si>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</si>
  <si>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</si>
  <si>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</si>
  <si>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</si>
  <si>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</si>
  <si>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</si>
  <si>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</si>
  <si>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</si>
  <si>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</si>
  <si>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</si>
  <si>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</si>
  <si>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</si>
  <si>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</si>
  <si>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</si>
  <si>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</si>
  <si>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</si>
  <si>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</si>
  <si>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</si>
  <si>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</si>
  <si>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</si>
  <si>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</si>
  <si>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</si>
  <si>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</si>
  <si>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</si>
  <si>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</si>
  <si>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</si>
  <si>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</si>
  <si>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</si>
  <si>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</si>
  <si>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</si>
  <si>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</si>
  <si>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</si>
  <si>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</si>
  <si>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</si>
  <si>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</si>
  <si>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</si>
  <si>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</si>
  <si>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</si>
  <si>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</si>
  <si>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</si>
  <si>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</si>
  <si>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</si>
  <si>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</si>
  <si>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</si>
  <si>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</si>
  <si>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</si>
  <si>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</si>
  <si>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</si>
  <si>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</si>
  <si>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</si>
  <si>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</si>
  <si>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</si>
  <si>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</si>
  <si>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</si>
  <si>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</si>
  <si>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</si>
  <si>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</si>
  <si>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</si>
  <si>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</si>
  <si>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</si>
  <si>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</si>
  <si>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</si>
  <si>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</si>
  <si>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</si>
  <si>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</si>
  <si>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</si>
  <si>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</si>
  <si>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</si>
  <si>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</si>
  <si>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</si>
  <si>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</si>
  <si>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</si>
  <si>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</si>
  <si>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</si>
  <si>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</si>
  <si>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</si>
  <si>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</si>
  <si>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</si>
  <si>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</si>
  <si>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</si>
  <si>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</si>
  <si>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</si>
  <si>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</si>
  <si>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</si>
  <si>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</si>
  <si>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</si>
  <si>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</si>
  <si>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</si>
  <si>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</si>
  <si>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</si>
  <si>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</si>
  <si>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</si>
  <si>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</si>
  <si>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</si>
  <si>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</si>
  <si>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</si>
  <si>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</si>
  <si>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</si>
  <si>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</si>
  <si>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</si>
  <si>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</si>
  <si>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</si>
  <si>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</si>
  <si>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</si>
  <si>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</si>
  <si>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</si>
  <si>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</si>
  <si>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</si>
  <si>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</si>
  <si>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</si>
  <si>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</si>
  <si>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</si>
  <si>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</si>
  <si>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</si>
  <si>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</si>
  <si>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</si>
  <si>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</si>
  <si>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</si>
  <si>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</si>
  <si>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</si>
  <si>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</si>
  <si>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</si>
  <si>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</si>
  <si>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</si>
  <si>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</si>
  <si>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</si>
  <si>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</si>
  <si>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</si>
  <si>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</si>
  <si>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</si>
  <si>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</si>
  <si>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</si>
  <si>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</si>
  <si>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</si>
  <si>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</si>
  <si>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</si>
  <si>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</si>
  <si>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</si>
  <si>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</si>
  <si>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</si>
  <si>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</si>
  <si>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</si>
  <si>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</si>
  <si>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</si>
  <si>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</si>
  <si>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</si>
  <si>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</si>
  <si>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</si>
  <si>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</si>
  <si>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</si>
  <si>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</si>
  <si>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</si>
  <si>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</si>
  <si>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</si>
  <si>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</si>
  <si>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</si>
  <si>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</si>
  <si>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</si>
  <si>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</si>
  <si>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</si>
  <si>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</si>
  <si>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</si>
  <si>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</si>
  <si>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</si>
  <si>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</si>
  <si>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</si>
  <si>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</si>
  <si>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</si>
  <si>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</si>
  <si>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</si>
  <si>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</si>
  <si>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</si>
  <si>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</si>
  <si>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</si>
  <si>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</si>
  <si>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</si>
  <si>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</si>
  <si>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</si>
  <si>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</si>
  <si>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</si>
  <si>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</si>
  <si>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</si>
  <si>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</si>
  <si>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</si>
  <si>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</si>
  <si>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</si>
  <si>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</si>
  <si>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</si>
  <si>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</si>
  <si>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</si>
  <si>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</si>
  <si>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</si>
  <si>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</si>
  <si>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</si>
  <si>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</si>
  <si>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</si>
  <si>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</si>
  <si>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</si>
  <si>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</si>
  <si>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</si>
  <si>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</si>
  <si>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</si>
  <si>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</si>
  <si>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</si>
  <si>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</si>
  <si>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</si>
  <si>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</si>
  <si>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</si>
  <si>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</si>
  <si>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</si>
  <si>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</si>
  <si>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</si>
  <si>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</si>
  <si>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</si>
  <si>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</si>
  <si>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</si>
  <si>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</si>
  <si>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</si>
  <si>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</si>
  <si>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</si>
  <si>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</si>
  <si>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</si>
  <si>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</si>
  <si>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</si>
  <si>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</si>
  <si>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</si>
  <si>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</si>
  <si>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</si>
  <si>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</si>
  <si>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</si>
  <si>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</si>
  <si>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</si>
  <si>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</si>
  <si>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</si>
  <si>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</si>
  <si>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</si>
  <si>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</si>
  <si>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</si>
  <si>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</si>
  <si>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</si>
  <si>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</si>
  <si>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</si>
  <si>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</si>
  <si>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</si>
  <si>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</si>
  <si>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</si>
  <si>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</si>
  <si>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</si>
  <si>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</si>
  <si>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</si>
  <si>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</si>
  <si>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</si>
  <si>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</si>
  <si>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</si>
  <si>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</si>
  <si>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</si>
  <si>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</si>
  <si>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</si>
  <si>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</si>
  <si>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</si>
  <si>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</si>
  <si>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</si>
  <si>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</si>
  <si>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</si>
  <si>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</si>
  <si>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</si>
  <si>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</si>
  <si>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</si>
  <si>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</si>
  <si>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</si>
  <si>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</si>
  <si>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</si>
  <si>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</si>
  <si>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</si>
  <si>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</si>
  <si>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</si>
  <si>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</si>
  <si>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</si>
  <si>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</si>
  <si>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</si>
  <si>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</si>
  <si>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</si>
  <si>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</si>
  <si>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</si>
  <si>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</si>
  <si>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</si>
  <si>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</si>
  <si>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</si>
  <si>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</si>
  <si>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</si>
  <si>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</si>
  <si>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</si>
  <si>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</si>
  <si>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</si>
  <si>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</si>
  <si>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</si>
  <si>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</si>
  <si>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</si>
  <si>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</si>
  <si>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</si>
  <si>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</si>
  <si>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</si>
  <si>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</si>
  <si>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</si>
  <si>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</si>
  <si>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</si>
  <si>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</si>
  <si>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</si>
  <si>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</si>
  <si>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</si>
  <si>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</si>
  <si>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</si>
  <si>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</si>
  <si>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</si>
  <si>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</si>
  <si>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</si>
  <si>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</si>
  <si>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</si>
  <si>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</si>
  <si>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</si>
  <si>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</si>
  <si>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</si>
  <si>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</si>
  <si>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</si>
  <si>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</si>
  <si>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</si>
  <si>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</si>
  <si>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</si>
  <si>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</si>
  <si>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</si>
  <si>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</si>
  <si>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</si>
  <si>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</si>
  <si>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</si>
  <si>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</si>
  <si>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</si>
  <si>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</si>
  <si>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</si>
  <si>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</si>
  <si>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</si>
  <si>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</si>
  <si>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</si>
  <si>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</si>
  <si>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</si>
  <si>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</si>
  <si>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</si>
  <si>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</si>
  <si>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</si>
  <si>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</si>
  <si>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</si>
  <si>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</si>
  <si>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</si>
  <si>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</si>
  <si>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</si>
  <si>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</si>
  <si>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</si>
  <si>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</si>
  <si>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</si>
  <si>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</si>
  <si>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</si>
  <si>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</si>
  <si>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</si>
  <si>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</si>
  <si>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</si>
  <si>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</si>
  <si>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</si>
  <si>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</si>
  <si>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</si>
  <si>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</si>
  <si>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</si>
  <si>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</si>
  <si>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</si>
  <si>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</si>
  <si>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</si>
  <si>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</si>
  <si>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</si>
  <si>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</si>
  <si>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</si>
  <si>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</si>
  <si>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</si>
  <si>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</si>
  <si>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</si>
  <si>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</si>
  <si>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</si>
  <si>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</si>
  <si>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</si>
  <si>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</si>
  <si>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</si>
  <si>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</si>
  <si>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</si>
  <si>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</si>
  <si>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</si>
  <si>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</si>
  <si>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</si>
  <si>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</si>
  <si>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</si>
  <si>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</si>
  <si>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</si>
  <si>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</si>
  <si>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</si>
  <si>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</si>
  <si>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</si>
  <si>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</si>
  <si>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</si>
  <si>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</si>
  <si>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</si>
  <si>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</si>
  <si>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</si>
  <si>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</si>
  <si>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</si>
  <si>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</si>
  <si>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</si>
  <si>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</si>
  <si>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</si>
  <si>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</si>
  <si>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</si>
  <si>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</si>
  <si>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</si>
  <si>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</si>
  <si>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</si>
  <si>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</si>
  <si>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</si>
  <si>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</si>
  <si>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</si>
  <si>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</si>
  <si>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</si>
  <si>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</si>
  <si>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</si>
  <si>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</si>
  <si>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</si>
  <si>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</si>
  <si>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</si>
  <si>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</si>
  <si>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</si>
  <si>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</si>
  <si>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</si>
  <si>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</si>
  <si>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</si>
  <si>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</si>
  <si>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</si>
  <si>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</si>
  <si>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</si>
  <si>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</si>
  <si>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</si>
  <si>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</si>
  <si>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</si>
  <si>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</si>
  <si>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</si>
  <si>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</si>
  <si>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</si>
  <si>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</si>
  <si>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</si>
  <si>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</si>
  <si>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</si>
  <si>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</si>
  <si>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</si>
  <si>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</si>
  <si>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</si>
  <si>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</si>
  <si>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</si>
  <si>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</si>
  <si>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</si>
  <si>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</si>
  <si>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</si>
  <si>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</si>
  <si>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</si>
  <si>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</si>
  <si>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</si>
  <si>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</si>
  <si>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</si>
  <si>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</si>
  <si>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</si>
  <si>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</si>
  <si>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</si>
  <si>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</si>
  <si>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</si>
  <si>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</si>
  <si>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</si>
  <si>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</si>
  <si>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</si>
  <si>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</si>
  <si>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</si>
  <si>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</si>
  <si>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</si>
  <si>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</si>
  <si>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</si>
  <si>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</si>
  <si>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</si>
  <si>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</si>
  <si>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</si>
  <si>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</si>
  <si>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</si>
  <si>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</si>
  <si>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</si>
  <si>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</si>
  <si>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</si>
  <si>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</si>
  <si>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</si>
  <si>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</si>
  <si>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</si>
  <si>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</si>
  <si>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</si>
  <si>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</si>
  <si>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</si>
  <si>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</si>
  <si>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</si>
  <si>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</si>
  <si>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</si>
  <si>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</si>
  <si>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</si>
  <si>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</si>
  <si>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</si>
  <si>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</si>
  <si>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</si>
  <si>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</si>
  <si>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</si>
  <si>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</si>
  <si>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</si>
  <si>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</si>
  <si>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</si>
  <si>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</si>
  <si>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</si>
  <si>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</si>
  <si>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</si>
  <si>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</si>
  <si>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</si>
  <si>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</si>
  <si>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</si>
  <si>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</si>
  <si>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</si>
  <si>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</si>
  <si>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</si>
  <si>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</si>
  <si>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</si>
  <si>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</si>
  <si>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</si>
  <si>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</si>
  <si>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</si>
  <si>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</si>
  <si>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</si>
  <si>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</si>
  <si>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</si>
  <si>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</si>
  <si>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</si>
  <si>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</si>
  <si>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</si>
  <si>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</si>
  <si>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</si>
  <si>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</si>
  <si>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</si>
  <si>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</si>
  <si>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</si>
  <si>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</si>
  <si>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</si>
  <si>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</si>
  <si>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</si>
  <si>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</si>
  <si>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</si>
  <si>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</si>
  <si>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</si>
  <si>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</si>
  <si>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</si>
  <si>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</si>
  <si>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</si>
  <si>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</si>
  <si>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</si>
  <si>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</si>
  <si>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</si>
  <si>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</si>
  <si>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</si>
  <si>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</si>
  <si>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</si>
  <si>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</si>
  <si>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</si>
  <si>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</si>
  <si>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</si>
  <si>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</si>
  <si>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</si>
  <si>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</si>
  <si>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</si>
  <si>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</si>
  <si>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</si>
  <si>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</si>
  <si>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</si>
  <si>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</si>
  <si>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</si>
  <si>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</si>
  <si>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</si>
  <si>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</si>
  <si>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</si>
  <si>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</si>
  <si>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</si>
  <si>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</si>
  <si>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</si>
  <si>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</si>
  <si>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</si>
  <si>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</si>
  <si>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</si>
  <si>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</si>
  <si>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</si>
  <si>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</si>
  <si>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</si>
  <si>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</si>
  <si>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</si>
  <si>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</si>
  <si>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</si>
  <si>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</si>
  <si>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</si>
  <si>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</si>
  <si>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</si>
  <si>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</si>
  <si>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</si>
  <si>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</si>
  <si>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</si>
  <si>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</si>
  <si>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</si>
  <si>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</si>
  <si>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</si>
  <si>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</si>
  <si>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</si>
  <si>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</si>
  <si>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</si>
  <si>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</si>
  <si>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</si>
  <si>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</si>
  <si>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</si>
  <si>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</si>
  <si>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</si>
  <si>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</si>
  <si>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</si>
  <si>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</si>
  <si>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</si>
  <si>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</si>
  <si>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</si>
  <si>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</si>
  <si>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</si>
  <si>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</si>
  <si>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</si>
  <si>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</si>
  <si>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</si>
  <si>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</si>
  <si>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</si>
  <si>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</si>
  <si>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</si>
  <si>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</si>
  <si>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</si>
  <si>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</si>
  <si>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</si>
  <si>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</si>
  <si>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</si>
  <si>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</si>
  <si>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</si>
  <si>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</si>
  <si>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</si>
  <si>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</si>
  <si>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</si>
  <si>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</si>
  <si>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</si>
  <si>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</si>
  <si>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</si>
  <si>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</si>
  <si>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</si>
  <si>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</si>
  <si>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</si>
  <si>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</si>
  <si>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</si>
  <si>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</si>
  <si>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</si>
  <si>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</si>
  <si>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</si>
  <si>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</si>
  <si>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</si>
  <si>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</si>
  <si>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</si>
  <si>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</si>
  <si>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</si>
  <si>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</si>
  <si>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</si>
  <si>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</si>
  <si>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</si>
  <si>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</si>
  <si>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</si>
  <si>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</si>
  <si>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</si>
  <si>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</si>
  <si>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</si>
  <si>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</si>
  <si>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</si>
  <si>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</si>
  <si>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</si>
  <si>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</si>
  <si>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</si>
  <si>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</si>
  <si>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</si>
  <si>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</si>
  <si>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</si>
  <si>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</si>
  <si>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</si>
  <si>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</si>
  <si>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</si>
  <si>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</si>
  <si>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</si>
  <si>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</si>
  <si>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</si>
  <si>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</si>
  <si>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</si>
  <si>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</si>
  <si>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</si>
  <si>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</si>
  <si>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</si>
  <si>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</si>
  <si>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</si>
  <si>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</si>
  <si>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</si>
  <si>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</si>
  <si>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</si>
  <si>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</si>
  <si>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</si>
  <si>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</si>
  <si>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</si>
  <si>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</si>
  <si>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</si>
  <si>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</si>
  <si>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</si>
  <si>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</si>
  <si>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</si>
  <si>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</si>
  <si>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</si>
  <si>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</si>
  <si>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</si>
  <si>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</si>
  <si>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</si>
  <si>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</si>
  <si>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</si>
  <si>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</si>
  <si>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</si>
  <si>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</si>
  <si>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</si>
  <si>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</si>
  <si>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</si>
  <si>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</si>
  <si>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</si>
  <si>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</si>
  <si>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</si>
  <si>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</si>
  <si>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</si>
  <si>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</si>
  <si>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</si>
  <si>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</si>
  <si>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</si>
  <si>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</si>
  <si>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</si>
  <si>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</si>
  <si>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</si>
  <si>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</si>
  <si>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</si>
  <si>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</si>
  <si>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</si>
  <si>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</si>
  <si>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</si>
  <si>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</si>
  <si>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</si>
  <si>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</si>
  <si>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</si>
  <si>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</si>
  <si>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</si>
  <si>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</si>
  <si>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</si>
  <si>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</si>
  <si>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</si>
  <si>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</si>
  <si>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</si>
  <si>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</si>
  <si>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</si>
  <si>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</si>
  <si>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</si>
  <si>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</si>
  <si>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</si>
  <si>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</si>
  <si>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</si>
  <si>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</si>
  <si>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</si>
  <si>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</si>
  <si>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</si>
  <si>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</si>
  <si>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</si>
  <si>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</si>
  <si>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</si>
  <si>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</si>
  <si>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</si>
  <si>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</si>
  <si>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</si>
  <si>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</si>
  <si>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</si>
  <si>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</si>
  <si>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</si>
  <si>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</si>
  <si>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</si>
  <si>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</si>
  <si>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</si>
  <si>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</si>
  <si>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</si>
  <si>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</si>
  <si>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</si>
  <si>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</si>
  <si>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</si>
  <si>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</si>
  <si>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</si>
  <si>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</si>
  <si>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</si>
  <si>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</si>
  <si>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</si>
  <si>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</si>
  <si>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</si>
  <si>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</si>
  <si>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</si>
  <si>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</si>
  <si>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</si>
  <si>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</si>
  <si>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</si>
  <si>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</si>
  <si>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</si>
  <si>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</si>
  <si>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</si>
  <si>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</si>
  <si>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</si>
  <si>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</si>
  <si>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</si>
  <si>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</si>
  <si>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</si>
  <si>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</si>
  <si>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</si>
  <si>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</si>
  <si>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</si>
  <si>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</si>
  <si>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</si>
  <si>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</si>
  <si>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</si>
  <si>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</si>
  <si>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</si>
  <si>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</si>
  <si>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</si>
  <si>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</si>
  <si>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</si>
  <si>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</si>
  <si>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</si>
  <si>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</si>
  <si>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</si>
  <si>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</si>
  <si>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</si>
  <si>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</si>
  <si>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</si>
  <si>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</si>
  <si>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</si>
  <si>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</si>
  <si>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</si>
  <si>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</si>
  <si>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</si>
  <si>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</si>
  <si>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</si>
  <si>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</si>
  <si>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</si>
  <si>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</si>
  <si>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</si>
  <si>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</si>
  <si>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</si>
  <si>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</si>
  <si>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</si>
  <si>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</si>
  <si>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</si>
  <si>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</si>
  <si>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</si>
  <si>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</si>
  <si>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</si>
  <si>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</si>
  <si>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</si>
  <si>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</si>
  <si>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</si>
  <si>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</si>
  <si>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</si>
  <si>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</si>
  <si>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</si>
  <si>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</si>
  <si>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</si>
  <si>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</si>
  <si>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</si>
  <si>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</si>
  <si>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</si>
  <si>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</si>
  <si>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</si>
  <si>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</si>
  <si>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</si>
  <si>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</si>
  <si>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</si>
  <si>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</si>
  <si>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</si>
  <si>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</si>
  <si>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</si>
  <si>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</si>
  <si>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</si>
  <si>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</si>
  <si>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</si>
  <si>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</si>
  <si>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</si>
  <si>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</si>
  <si>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</si>
  <si>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</si>
  <si>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</si>
  <si>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</si>
  <si>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</si>
  <si>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</si>
  <si>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</si>
  <si>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</si>
  <si>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</si>
  <si>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</si>
  <si>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</si>
  <si>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</si>
  <si>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</si>
  <si>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</si>
  <si>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</si>
  <si>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</si>
  <si>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</si>
  <si>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</si>
  <si>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</si>
  <si>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</si>
  <si>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</si>
  <si>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</si>
  <si>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</si>
  <si>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</si>
  <si>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</si>
  <si>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</si>
  <si>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</si>
  <si>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</si>
  <si>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</si>
  <si>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</si>
  <si>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</si>
  <si>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</si>
  <si>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</si>
  <si>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</si>
  <si>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</si>
  <si>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</si>
  <si>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</si>
  <si>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</si>
  <si>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</si>
  <si>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</si>
  <si>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</si>
  <si>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</si>
  <si>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</si>
  <si>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</si>
  <si>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</si>
  <si>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</si>
  <si>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</si>
  <si>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</si>
  <si>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</si>
  <si>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</si>
  <si>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</si>
  <si>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</si>
  <si>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</si>
  <si>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</si>
  <si>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</si>
  <si>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</si>
  <si>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</si>
  <si>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</si>
  <si>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</si>
  <si>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</si>
  <si>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</si>
  <si>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</si>
  <si>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</si>
  <si>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</si>
  <si>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</si>
  <si>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</si>
  <si>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</si>
  <si>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</si>
  <si>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</si>
  <si>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</si>
  <si>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</si>
  <si>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</si>
  <si>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</si>
  <si>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</si>
  <si>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</si>
  <si>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</si>
  <si>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</si>
  <si>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</si>
  <si>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</si>
  <si>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</si>
  <si>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</si>
  <si>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</si>
  <si>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</si>
  <si>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</si>
  <si>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</si>
  <si>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</si>
  <si>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</si>
  <si>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</si>
  <si>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</si>
  <si>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</si>
  <si>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</si>
  <si>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</si>
  <si>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</si>
  <si>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</si>
  <si>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</si>
  <si>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</si>
  <si>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</si>
  <si>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</si>
  <si>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</si>
  <si>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</si>
  <si>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</si>
  <si>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</si>
  <si>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</si>
  <si>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</si>
  <si>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</si>
  <si>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</si>
  <si>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</si>
  <si>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</si>
  <si>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</si>
  <si>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</si>
  <si>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</si>
  <si>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</si>
  <si>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</si>
  <si>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</si>
  <si>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</si>
  <si>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</si>
  <si>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</si>
  <si>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</si>
  <si>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</si>
  <si>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</si>
  <si>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</si>
  <si>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</si>
  <si>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</si>
  <si>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</si>
  <si>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</si>
  <si>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</si>
  <si>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</si>
  <si>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</si>
  <si>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</si>
  <si>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</si>
  <si>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</si>
  <si>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</si>
  <si>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</si>
  <si>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</si>
  <si>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</si>
  <si>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</si>
  <si>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</si>
  <si>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</si>
  <si>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</si>
  <si>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</si>
  <si>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</si>
  <si>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</si>
  <si>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</si>
  <si>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</si>
  <si>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</si>
  <si>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</si>
  <si>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</si>
  <si>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</si>
  <si>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</si>
  <si>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</si>
  <si>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</si>
  <si>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</si>
  <si>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</si>
  <si>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</si>
  <si>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</si>
  <si>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</si>
  <si>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</si>
  <si>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</si>
  <si>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</si>
  <si>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</si>
  <si>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</si>
  <si>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</si>
  <si>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</si>
  <si>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</si>
  <si>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</si>
  <si>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</si>
  <si>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</si>
  <si>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</si>
  <si>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</si>
  <si>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</si>
  <si>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</si>
  <si>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</si>
  <si>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</si>
  <si>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</si>
  <si>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</si>
  <si>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</si>
  <si>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</si>
  <si>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</si>
  <si>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</si>
  <si>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</si>
  <si>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</si>
  <si>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</si>
  <si>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</si>
  <si>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</si>
  <si>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</si>
  <si>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</si>
  <si>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</si>
  <si>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</si>
  <si>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</si>
  <si>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</si>
  <si>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</si>
  <si>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</si>
  <si>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</si>
  <si>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</si>
  <si>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</si>
  <si>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</si>
  <si>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</si>
  <si>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</si>
  <si>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</si>
  <si>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</si>
  <si>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</si>
  <si>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</si>
  <si>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</si>
  <si>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</si>
  <si>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</si>
  <si>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</si>
  <si>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</si>
  <si>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</si>
  <si>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</si>
  <si>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</si>
  <si>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</si>
  <si>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</si>
  <si>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</si>
  <si>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</si>
  <si>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</si>
  <si>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</si>
  <si>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</si>
  <si>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</si>
  <si>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</si>
  <si>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</si>
  <si>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</si>
  <si>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</si>
  <si>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</si>
  <si>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</si>
  <si>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</si>
  <si>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</si>
  <si>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</si>
  <si>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</si>
  <si>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</si>
  <si>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</si>
  <si>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</si>
  <si>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</si>
  <si>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</si>
  <si>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</si>
  <si>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</si>
  <si>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</si>
  <si>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</si>
  <si>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</si>
  <si>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</si>
  <si>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</si>
  <si>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</si>
  <si>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</si>
  <si>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</si>
  <si>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</si>
  <si>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</si>
  <si>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</si>
  <si>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</si>
  <si>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</si>
  <si>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</si>
  <si>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</si>
  <si>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</si>
  <si>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</si>
  <si>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</si>
  <si>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</si>
  <si>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</si>
  <si>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</si>
  <si>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</si>
  <si>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</si>
  <si>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</si>
  <si>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</si>
  <si>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</si>
  <si>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</si>
  <si>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</si>
  <si>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</si>
  <si>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</si>
  <si>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</si>
  <si>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</si>
  <si>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</si>
  <si>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</si>
  <si>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</si>
  <si>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</si>
  <si>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</si>
  <si>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</si>
  <si>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</si>
  <si>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</si>
  <si>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</si>
  <si>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</si>
  <si>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</si>
  <si>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</si>
  <si>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</si>
  <si>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</si>
  <si>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</si>
  <si>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</si>
  <si>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</si>
  <si>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</si>
  <si>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</si>
  <si>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</si>
  <si>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</si>
  <si>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</si>
  <si>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</si>
  <si>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</si>
  <si>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</si>
  <si>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</si>
  <si>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</si>
  <si>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</si>
  <si>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</si>
  <si>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</si>
  <si>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</si>
  <si>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</si>
  <si>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</si>
  <si>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</si>
  <si>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</si>
  <si>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</si>
  <si>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</si>
  <si>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</si>
  <si>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</si>
  <si>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</si>
  <si>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</si>
  <si>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</si>
  <si>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</si>
  <si>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</si>
  <si>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</si>
  <si>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</si>
  <si>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</si>
  <si>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</si>
  <si>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</si>
  <si>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</si>
  <si>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</si>
  <si>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</si>
  <si>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</si>
  <si>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</si>
  <si>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</si>
  <si>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</si>
  <si>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</si>
  <si>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</si>
  <si>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</si>
  <si>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</si>
  <si>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</si>
  <si>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</si>
  <si>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</si>
  <si>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</si>
  <si>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</si>
  <si>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</si>
  <si>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</si>
  <si>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</si>
  <si>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</si>
  <si>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</si>
  <si>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</si>
  <si>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</si>
  <si>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</si>
  <si>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</si>
  <si>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</si>
  <si>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</si>
  <si>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</si>
  <si>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</si>
  <si>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</si>
  <si>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</si>
  <si>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</si>
  <si>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</si>
  <si>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</si>
  <si>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</si>
  <si>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</si>
  <si>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</si>
  <si>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</si>
  <si>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</si>
  <si>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</si>
  <si>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</si>
  <si>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</si>
  <si>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</si>
  <si>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</si>
  <si>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</si>
  <si>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</si>
  <si>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</si>
  <si>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</si>
  <si>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</si>
  <si>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</si>
  <si>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</si>
  <si>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</si>
  <si>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</si>
  <si>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</si>
  <si>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</si>
  <si>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</si>
  <si>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</si>
  <si>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</si>
  <si>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</si>
  <si>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</si>
  <si>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</si>
  <si>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</si>
  <si>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</si>
  <si>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</si>
  <si>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</si>
  <si>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</si>
  <si>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</si>
  <si>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</si>
  <si>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</si>
  <si>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</si>
  <si>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</si>
  <si>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</si>
  <si>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</si>
  <si>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</si>
  <si>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</si>
  <si>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</si>
  <si>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</si>
  <si>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</si>
  <si>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</si>
  <si>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</si>
  <si>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</si>
  <si>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</si>
  <si>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</si>
  <si>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</si>
  <si>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</si>
  <si>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</si>
  <si>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</si>
  <si>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</si>
  <si>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</si>
  <si>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</si>
  <si>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</si>
  <si>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</si>
  <si>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</si>
  <si>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</si>
  <si>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</si>
  <si>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</si>
  <si>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</si>
  <si>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</si>
  <si>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</si>
  <si>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</si>
  <si>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</si>
  <si>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</si>
  <si>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</si>
  <si>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</si>
  <si>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</si>
  <si>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</si>
  <si>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</si>
  <si>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</si>
  <si>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</si>
  <si>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</si>
  <si>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</si>
  <si>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</si>
  <si>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</si>
  <si>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</si>
  <si>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</si>
  <si>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</si>
  <si>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</si>
  <si>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</si>
  <si>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</si>
  <si>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</si>
  <si>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</si>
  <si>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</si>
  <si>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</si>
  <si>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</si>
  <si>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</si>
  <si>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</si>
  <si>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</si>
  <si>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</si>
  <si>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</si>
  <si>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</si>
  <si>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</si>
  <si>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</si>
  <si>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</si>
  <si>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</si>
  <si>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</si>
  <si>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</si>
  <si>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</si>
  <si>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</si>
  <si>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</si>
  <si>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</si>
  <si>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</si>
  <si>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</si>
  <si>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</si>
  <si>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</si>
  <si>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</si>
  <si>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</si>
  <si>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</si>
  <si>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</si>
  <si>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</si>
  <si>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</si>
  <si>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</si>
  <si>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</si>
  <si>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</si>
  <si>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</si>
  <si>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</si>
  <si>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</si>
  <si>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</si>
  <si>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</si>
  <si>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</si>
  <si>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</si>
  <si>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</si>
  <si>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</si>
  <si>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</si>
  <si>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</si>
  <si>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</si>
  <si>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</si>
  <si>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</si>
  <si>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</si>
  <si>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</si>
  <si>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</si>
  <si>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</si>
  <si>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</si>
  <si>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</si>
  <si>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</si>
  <si>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</si>
  <si>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</si>
  <si>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</si>
  <si>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</si>
  <si>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</si>
  <si>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</si>
  <si>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</si>
  <si>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</si>
  <si>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</si>
  <si>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</si>
  <si>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</si>
  <si>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</si>
  <si>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</si>
  <si>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</si>
  <si>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</si>
  <si>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</si>
  <si>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</si>
  <si>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</si>
  <si>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</si>
  <si>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</si>
  <si>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</si>
  <si>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</si>
  <si>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</si>
  <si>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</si>
  <si>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</si>
  <si>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</si>
  <si>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</si>
  <si>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</si>
  <si>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</si>
  <si>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</si>
  <si>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</si>
  <si>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</si>
  <si>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</si>
  <si>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</si>
  <si>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</si>
  <si>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</si>
  <si>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</si>
  <si>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</si>
  <si>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</si>
  <si>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</si>
  <si>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</si>
  <si>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</si>
  <si>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</si>
  <si>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</si>
  <si>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</si>
  <si>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</si>
  <si>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</si>
  <si>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</si>
  <si>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</si>
  <si>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</si>
  <si>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</si>
  <si>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</si>
  <si>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</si>
  <si>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</si>
  <si>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</si>
  <si>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</si>
  <si>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</si>
  <si>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</si>
  <si>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</si>
  <si>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</si>
  <si>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</si>
  <si>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</si>
  <si>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</si>
  <si>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</si>
  <si>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</si>
  <si>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</si>
  <si>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</si>
  <si>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</si>
  <si>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</si>
  <si>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</si>
  <si>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</si>
  <si>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</si>
  <si>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</si>
  <si>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</si>
  <si>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</si>
  <si>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</si>
  <si>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</si>
  <si>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</si>
  <si>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</si>
  <si>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</si>
  <si>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</si>
  <si>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</si>
  <si>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</si>
  <si>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</si>
  <si>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</si>
  <si>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</si>
  <si>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</si>
  <si>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</si>
  <si>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</si>
  <si>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</si>
  <si>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</si>
  <si>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</si>
  <si>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</si>
  <si>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</si>
  <si>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</si>
  <si>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</si>
  <si>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</si>
  <si>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</si>
  <si>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</si>
  <si>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</si>
  <si>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</si>
  <si>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</si>
  <si>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</si>
  <si>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</si>
  <si>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</si>
  <si>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</si>
  <si>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</si>
  <si>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</si>
  <si>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</si>
  <si>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</si>
  <si>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</si>
  <si>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</si>
  <si>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</si>
  <si>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</si>
  <si>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</si>
  <si>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</si>
  <si>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</si>
  <si>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</si>
  <si>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</si>
  <si>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</si>
  <si>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</si>
  <si>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</si>
  <si>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</si>
  <si>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</si>
  <si>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</si>
  <si>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</si>
  <si>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</si>
  <si>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</si>
  <si>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</si>
  <si>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</si>
  <si>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</si>
  <si>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</si>
  <si>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</si>
  <si>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</si>
  <si>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</si>
  <si>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</si>
  <si>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</si>
  <si>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</si>
  <si>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</si>
  <si>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</si>
  <si>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</si>
  <si>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</si>
  <si>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</si>
  <si>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</si>
  <si>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</si>
  <si>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</si>
  <si>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</si>
  <si>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</si>
  <si>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</si>
  <si>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</si>
  <si>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</si>
  <si>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</si>
  <si>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</si>
  <si>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</si>
  <si>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</si>
  <si>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</si>
  <si>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</si>
  <si>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</si>
  <si>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</si>
  <si>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</si>
  <si>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</si>
  <si>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</si>
  <si>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</si>
  <si>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</si>
  <si>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</si>
  <si>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</si>
  <si>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</si>
  <si>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</si>
  <si>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</si>
  <si>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</si>
  <si>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</si>
  <si>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</si>
  <si>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</si>
  <si>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</si>
  <si>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</si>
  <si>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</si>
  <si>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</si>
  <si>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</si>
  <si>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</si>
  <si>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</si>
  <si>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</si>
  <si>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</si>
  <si>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</si>
  <si>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</si>
  <si>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</si>
  <si>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</si>
  <si>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</si>
  <si>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</si>
  <si>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</si>
  <si>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</si>
  <si>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</si>
  <si>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</si>
  <si>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</si>
  <si>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</si>
  <si>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</si>
  <si>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</si>
  <si>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</si>
  <si>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</si>
  <si>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</si>
  <si>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</si>
  <si>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</si>
  <si>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</si>
  <si>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</si>
  <si>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</si>
  <si>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</si>
  <si>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</si>
  <si>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</si>
  <si>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</si>
  <si>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</si>
  <si>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</si>
  <si>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</si>
  <si>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</si>
  <si>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</si>
  <si>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</si>
  <si>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</si>
  <si>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</si>
  <si>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</si>
  <si>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</si>
  <si>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</si>
  <si>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</si>
  <si>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</si>
  <si>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</si>
  <si>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</si>
  <si>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</si>
  <si>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</si>
  <si>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</si>
  <si>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</si>
  <si>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</si>
  <si>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</si>
  <si>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</si>
  <si>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</si>
  <si>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</si>
  <si>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</si>
  <si>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</si>
  <si>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</si>
  <si>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</si>
  <si>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</si>
  <si>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</si>
  <si>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</si>
  <si>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</si>
  <si>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</si>
  <si>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</si>
  <si>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</si>
  <si>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</si>
  <si>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</si>
  <si>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</si>
  <si>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</si>
  <si>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</si>
  <si>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</si>
  <si>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</si>
  <si>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</si>
  <si>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</si>
  <si>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</si>
  <si>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</si>
  <si>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</si>
  <si>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</si>
  <si>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</si>
  <si>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</si>
  <si>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</si>
  <si>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</si>
  <si>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</si>
  <si>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</si>
  <si>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</si>
  <si>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</si>
  <si>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</si>
  <si>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</si>
  <si>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</si>
  <si>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</si>
  <si>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</si>
  <si>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</si>
  <si>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</si>
  <si>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</si>
  <si>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</si>
  <si>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</si>
  <si>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</si>
  <si>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</si>
  <si>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</si>
  <si>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</si>
  <si>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</si>
  <si>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</si>
  <si>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</si>
  <si>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</si>
  <si>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</si>
  <si>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</si>
  <si>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</si>
  <si>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</si>
  <si>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</si>
  <si>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</si>
  <si>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</si>
  <si>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</si>
  <si>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</si>
  <si>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</si>
  <si>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</si>
  <si>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</si>
  <si>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</si>
  <si>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</si>
  <si>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</si>
  <si>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</si>
  <si>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</si>
  <si>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</si>
  <si>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</si>
  <si>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</si>
  <si>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</si>
  <si>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</si>
  <si>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</si>
  <si>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</si>
  <si>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</si>
  <si>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</si>
  <si>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</si>
  <si>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</si>
  <si>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</si>
  <si>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</si>
  <si>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</si>
  <si>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</si>
  <si>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</si>
  <si>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</si>
  <si>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</si>
  <si>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</si>
  <si>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</si>
  <si>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</si>
  <si>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</si>
  <si>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</si>
  <si>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</si>
  <si>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</si>
  <si>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</si>
  <si>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</si>
  <si>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</si>
  <si>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</si>
  <si>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</si>
  <si>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</si>
  <si>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</si>
  <si>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</si>
  <si>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</si>
  <si>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</si>
  <si>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</si>
  <si>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</si>
  <si>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</si>
  <si>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</si>
  <si>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</si>
  <si>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</si>
  <si>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</si>
  <si>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</si>
  <si>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</si>
  <si>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</si>
  <si>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</si>
  <si>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</si>
  <si>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</si>
  <si>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</si>
  <si>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</si>
  <si>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</si>
  <si>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</si>
  <si>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</si>
  <si>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</si>
  <si>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</si>
  <si>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</si>
  <si>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</si>
  <si>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</si>
  <si>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</si>
  <si>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</si>
  <si>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</si>
  <si>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</si>
  <si>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</si>
  <si>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</si>
  <si>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</si>
  <si>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</si>
  <si>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</si>
  <si>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</si>
  <si>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</si>
  <si>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</si>
  <si>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</si>
  <si>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</si>
  <si>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</si>
  <si>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</si>
  <si>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</si>
  <si>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</si>
  <si>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</si>
  <si>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</si>
  <si>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</si>
  <si>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</si>
  <si>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</si>
  <si>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</si>
  <si>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</si>
  <si>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</si>
  <si>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</si>
  <si>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</si>
  <si>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</si>
  <si>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</si>
  <si>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</si>
  <si>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</si>
  <si>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</si>
  <si>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</si>
  <si>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</si>
  <si>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</si>
  <si>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</si>
  <si>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</si>
  <si>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</si>
  <si>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</si>
  <si>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</si>
  <si>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</si>
  <si>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</si>
  <si>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</si>
  <si>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</si>
  <si>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</si>
  <si>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</si>
  <si>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</si>
  <si>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</si>
  <si>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</si>
  <si>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</si>
  <si>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</si>
  <si>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</si>
  <si>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</si>
  <si>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</si>
  <si>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</si>
  <si>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</si>
  <si>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</si>
  <si>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</si>
  <si>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</si>
  <si>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</si>
  <si>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</si>
  <si>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</si>
  <si>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</si>
  <si>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</si>
  <si>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</si>
  <si>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</si>
  <si>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</si>
  <si>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</si>
  <si>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</si>
  <si>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</si>
  <si>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</si>
  <si>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</si>
  <si>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</si>
  <si>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</si>
  <si>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</si>
  <si>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</si>
  <si>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</si>
  <si>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</si>
  <si>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</si>
  <si>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</si>
  <si>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</si>
  <si>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</si>
  <si>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</si>
  <si>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</si>
  <si>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</si>
  <si>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</si>
  <si>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</si>
  <si>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</si>
  <si>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</si>
  <si>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</si>
  <si>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</si>
  <si>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</si>
  <si>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</si>
  <si>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</si>
  <si>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</si>
  <si>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</si>
  <si>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</si>
  <si>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</si>
  <si>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</si>
  <si>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</si>
  <si>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</si>
  <si>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</si>
  <si>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</si>
  <si>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</si>
  <si>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</si>
  <si>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</si>
  <si>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</si>
  <si>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</si>
  <si>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</si>
  <si>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</si>
  <si>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</si>
  <si>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</si>
  <si>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</si>
  <si>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</si>
  <si>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</si>
  <si>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</si>
  <si>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</si>
  <si>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</si>
  <si>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</si>
  <si>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</si>
  <si>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</si>
  <si>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</si>
  <si>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</si>
  <si>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</si>
  <si>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</si>
  <si>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</si>
  <si>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</si>
  <si>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</si>
  <si>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</si>
  <si>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</si>
  <si>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</si>
  <si>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</si>
  <si>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</si>
  <si>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</si>
  <si>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</si>
  <si>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</si>
  <si>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</si>
  <si>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</si>
  <si>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</si>
  <si>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</si>
  <si>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</si>
  <si>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</si>
  <si>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</si>
  <si>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</si>
  <si>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</si>
  <si>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</si>
  <si>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</si>
  <si>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</si>
  <si>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</si>
  <si>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</si>
  <si>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</si>
  <si>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</si>
  <si>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</si>
  <si>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</si>
  <si>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</si>
  <si>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</si>
  <si>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</si>
  <si>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</si>
  <si>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</si>
  <si>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</si>
  <si>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</si>
  <si>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</si>
  <si>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</si>
  <si>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</si>
  <si>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</si>
  <si>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</si>
  <si>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</si>
  <si>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</si>
  <si>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</si>
  <si>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</si>
  <si>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</si>
  <si>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</si>
  <si>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</si>
  <si>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</si>
  <si>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</si>
  <si>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</si>
  <si>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</si>
  <si>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</si>
  <si>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</si>
  <si>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</si>
  <si>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</si>
  <si>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</si>
  <si>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</si>
  <si>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</si>
  <si>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</si>
  <si>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</si>
  <si>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</si>
  <si>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</si>
  <si>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</si>
  <si>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</si>
  <si>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</si>
  <si>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</si>
  <si>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</si>
  <si>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</si>
  <si>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</si>
  <si>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</si>
  <si>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</si>
  <si>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</si>
  <si>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</si>
  <si>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</si>
  <si>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</si>
  <si>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</si>
  <si>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</si>
  <si>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</si>
  <si>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</si>
  <si>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</si>
  <si>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</si>
  <si>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</si>
  <si>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</si>
  <si>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</si>
  <si>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</si>
  <si>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</si>
  <si>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</si>
  <si>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</si>
  <si>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</si>
  <si>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</si>
  <si>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</si>
  <si>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</si>
  <si>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</si>
  <si>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</si>
  <si>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</si>
  <si>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</si>
  <si>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</si>
  <si>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</si>
  <si>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</si>
  <si>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</si>
  <si>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</si>
  <si>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</si>
  <si>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</si>
  <si>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</si>
  <si>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</si>
  <si>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</si>
  <si>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</si>
  <si>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</si>
  <si>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</si>
  <si>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</si>
  <si>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</si>
  <si>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</si>
  <si>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</si>
  <si>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</si>
  <si>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</si>
  <si>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</si>
  <si>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</si>
  <si>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</si>
  <si>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</si>
  <si>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</si>
  <si>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</si>
  <si>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</si>
  <si>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</si>
  <si>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</si>
  <si>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</si>
  <si>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</si>
  <si>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</si>
  <si>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</si>
  <si>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</si>
  <si>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</si>
  <si>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</si>
  <si>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</si>
  <si>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</si>
  <si>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</si>
  <si>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</si>
  <si>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</si>
  <si>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</si>
  <si>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</si>
  <si>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</si>
  <si>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</si>
  <si>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</si>
  <si>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</si>
  <si>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</si>
  <si>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</si>
  <si>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</si>
  <si>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</si>
  <si>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</si>
  <si>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</si>
  <si>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</si>
  <si>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</si>
  <si>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</si>
  <si>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</si>
  <si>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</si>
  <si>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</si>
  <si>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</si>
  <si>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</si>
  <si>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</si>
  <si>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</si>
  <si>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</si>
  <si>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</si>
  <si>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</si>
  <si>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</si>
  <si>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</si>
  <si>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</si>
  <si>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</si>
  <si>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</si>
  <si>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</si>
  <si>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</si>
  <si>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</si>
  <si>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</si>
  <si>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</si>
  <si>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</si>
  <si>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</si>
  <si>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</si>
  <si>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</si>
  <si>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</si>
  <si>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</si>
  <si>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</si>
  <si>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</si>
  <si>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</si>
  <si>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</si>
  <si>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</si>
  <si>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</si>
  <si>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</si>
  <si>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</si>
  <si>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</si>
  <si>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</si>
  <si>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</si>
  <si>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</si>
  <si>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</si>
  <si>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</si>
  <si>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</si>
  <si>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</si>
  <si>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</si>
  <si>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</si>
  <si>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</si>
  <si>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</si>
  <si>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</si>
  <si>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</si>
  <si>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</si>
  <si>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</si>
  <si>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</si>
  <si>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</si>
  <si>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</si>
  <si>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</si>
  <si>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</si>
  <si>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</si>
  <si>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</si>
  <si>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</si>
  <si>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</si>
  <si>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</si>
  <si>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</si>
  <si>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</si>
  <si>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</si>
  <si>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</si>
  <si>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</si>
  <si>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</si>
  <si>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</si>
  <si>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</si>
  <si>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</si>
  <si>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</si>
  <si>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</si>
  <si>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</si>
  <si>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</si>
  <si>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</si>
  <si>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</si>
  <si>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</si>
  <si>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</si>
  <si>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</si>
  <si>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</si>
  <si>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</si>
  <si>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</si>
  <si>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</si>
  <si>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</si>
  <si>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</si>
  <si>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</si>
  <si>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</si>
  <si>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</si>
  <si>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</si>
  <si>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</si>
  <si>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</si>
  <si>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</si>
  <si>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</si>
  <si>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</si>
  <si>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</si>
  <si>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</si>
  <si>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</si>
  <si>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</si>
  <si>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</si>
  <si>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</si>
  <si>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</si>
  <si>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</si>
  <si>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</si>
  <si>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</si>
  <si>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</si>
  <si>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</si>
  <si>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</si>
  <si>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</si>
  <si>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</si>
  <si>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</si>
  <si>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</si>
  <si>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</si>
  <si>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</si>
  <si>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</si>
  <si>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</si>
  <si>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</si>
  <si>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</si>
  <si>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</si>
  <si>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</si>
  <si>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</si>
  <si>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</si>
  <si>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</si>
  <si>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</si>
  <si>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</si>
  <si>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</si>
  <si>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</si>
  <si>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</si>
  <si>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</si>
  <si>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</si>
  <si>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</si>
  <si>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</si>
  <si>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</si>
  <si>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</si>
  <si>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</si>
  <si>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</si>
  <si>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</si>
  <si>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</si>
  <si>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</si>
  <si>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</si>
  <si>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</si>
  <si>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</si>
  <si>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</si>
  <si>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</si>
  <si>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</si>
  <si>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</si>
  <si>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</si>
  <si>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</si>
  <si>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</si>
  <si>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</si>
  <si>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</si>
  <si>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</si>
  <si>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</si>
  <si>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</si>
  <si>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</si>
  <si>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</si>
  <si>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</si>
  <si>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</si>
  <si>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</si>
  <si>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</si>
  <si>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</si>
  <si>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</si>
  <si>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</si>
  <si>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</si>
  <si>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</si>
  <si>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</si>
  <si>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</si>
  <si>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</si>
  <si>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</si>
  <si>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</si>
  <si>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</si>
  <si>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</si>
  <si>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</si>
  <si>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</si>
  <si>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</si>
  <si>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</si>
  <si>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</si>
  <si>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</si>
  <si>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</si>
  <si>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</si>
  <si>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</si>
  <si>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</si>
  <si>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</si>
  <si>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</si>
  <si>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</si>
  <si>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</si>
  <si>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</si>
  <si>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</si>
  <si>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</si>
  <si>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</si>
  <si>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</si>
  <si>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</si>
  <si>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</si>
  <si>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</si>
  <si>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</si>
  <si>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</si>
  <si>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</si>
  <si>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</si>
  <si>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</si>
  <si>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</si>
  <si>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</si>
  <si>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</si>
  <si>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</si>
  <si>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</si>
  <si>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</si>
  <si>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</si>
  <si>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</si>
  <si>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</si>
  <si>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</si>
  <si>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</si>
  <si>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</si>
  <si>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</si>
  <si>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</si>
  <si>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</si>
  <si>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</si>
  <si>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</si>
  <si>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</si>
  <si>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</si>
  <si>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</si>
  <si>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</si>
  <si>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</si>
  <si>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</si>
  <si>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</si>
  <si>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</si>
  <si>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</si>
  <si>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</si>
  <si>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</si>
  <si>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</si>
  <si>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</si>
  <si>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</si>
  <si>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</si>
  <si>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</si>
  <si>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</si>
  <si>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</si>
  <si>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</si>
  <si>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</si>
  <si>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</si>
  <si>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</si>
  <si>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</si>
  <si>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</si>
  <si>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</si>
  <si>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</si>
  <si>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</si>
  <si>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</si>
  <si>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</si>
  <si>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</si>
  <si>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</si>
  <si>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</si>
  <si>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</si>
  <si>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</si>
  <si>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</si>
  <si>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</si>
  <si>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</si>
  <si>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</si>
  <si>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</si>
  <si>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</si>
  <si>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</si>
  <si>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</si>
  <si>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</si>
  <si>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</si>
  <si>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</si>
  <si>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</si>
  <si>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</si>
  <si>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</si>
  <si>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</si>
  <si>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</si>
  <si>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</si>
  <si>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</si>
  <si>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</si>
  <si>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</si>
  <si>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</si>
  <si>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</si>
  <si>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</si>
  <si>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</si>
  <si>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</si>
  <si>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</si>
  <si>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</si>
  <si>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</si>
  <si>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</si>
  <si>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</si>
  <si>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</si>
  <si>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</si>
  <si>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</si>
  <si>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</si>
  <si>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</si>
  <si>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</si>
  <si>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</si>
  <si>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</si>
  <si>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</si>
  <si>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</si>
  <si>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</si>
  <si>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</si>
  <si>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</si>
  <si>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</si>
  <si>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</si>
  <si>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</si>
  <si>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</si>
  <si>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</si>
  <si>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</si>
  <si>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</si>
  <si>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</si>
  <si>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</si>
  <si>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</si>
  <si>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</si>
  <si>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</si>
  <si>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</si>
  <si>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</si>
  <si>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</si>
  <si>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</si>
  <si>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</si>
  <si>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</si>
  <si>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</si>
  <si>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</si>
  <si>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</si>
  <si>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</si>
  <si>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</si>
  <si>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</si>
  <si>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</si>
  <si>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</si>
  <si>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</si>
  <si>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</si>
  <si>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</si>
  <si>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</si>
  <si>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</si>
  <si>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</si>
  <si>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</si>
  <si>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</si>
  <si>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</si>
  <si>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</si>
  <si>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</si>
  <si>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</si>
  <si>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</si>
  <si>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</si>
  <si>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</si>
  <si>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</si>
  <si>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</si>
  <si>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</si>
  <si>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</si>
  <si>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</si>
  <si>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</si>
  <si>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</si>
  <si>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</si>
  <si>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</si>
  <si>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</si>
  <si>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</si>
  <si>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</si>
  <si>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</si>
  <si>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</si>
  <si>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</si>
  <si>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</si>
  <si>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</si>
  <si>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</si>
  <si>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</si>
  <si>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</si>
  <si>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</si>
  <si>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</si>
  <si>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</si>
  <si>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</si>
  <si>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</si>
  <si>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</si>
  <si>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</si>
  <si>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</si>
  <si>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</si>
  <si>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</si>
  <si>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</si>
  <si>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</si>
  <si>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</si>
  <si>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</si>
  <si>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</si>
  <si>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</si>
  <si>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</si>
  <si>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</si>
  <si>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</si>
  <si>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</si>
  <si>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</si>
  <si>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</si>
  <si>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</si>
  <si>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</si>
  <si>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</si>
  <si>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</si>
  <si>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</si>
  <si>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</si>
  <si>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</si>
  <si>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</si>
  <si>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</si>
  <si>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</si>
  <si>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</si>
  <si>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</si>
  <si>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</si>
  <si>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</si>
  <si>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</si>
  <si>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</si>
  <si>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</si>
  <si>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</si>
  <si>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</si>
  <si>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</si>
  <si>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</si>
  <si>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</si>
  <si>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</si>
  <si>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</si>
  <si>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</si>
  <si>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</si>
  <si>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</si>
  <si>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</si>
  <si>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</si>
  <si>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</si>
  <si>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</si>
  <si>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</si>
  <si>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</si>
  <si>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</si>
  <si>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</si>
  <si>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</si>
  <si>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</si>
  <si>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</si>
  <si>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</si>
  <si>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</si>
  <si>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</si>
  <si>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</si>
  <si>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</si>
  <si>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</si>
  <si>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</si>
  <si>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</si>
  <si>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</si>
  <si>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</si>
  <si>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</si>
  <si>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</si>
  <si>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</si>
  <si>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</si>
  <si>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</si>
  <si>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</si>
  <si>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</si>
  <si>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</si>
  <si>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</si>
  <si>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</si>
  <si>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</si>
  <si>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</si>
  <si>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</si>
  <si>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</si>
  <si>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</si>
  <si>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</si>
  <si>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</si>
  <si>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</si>
  <si>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</si>
  <si>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</si>
  <si>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</si>
  <si>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</si>
  <si>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</si>
  <si>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</si>
  <si>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</si>
  <si>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</si>
  <si>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</si>
  <si>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</si>
  <si>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</si>
  <si>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</si>
  <si>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</si>
  <si>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</si>
  <si>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</si>
  <si>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</si>
  <si>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</si>
  <si>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</si>
  <si>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</si>
  <si>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</si>
  <si>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</si>
  <si>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</si>
  <si>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</si>
  <si>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</si>
  <si>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</si>
  <si>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</si>
  <si>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</si>
  <si>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</si>
  <si>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</si>
  <si>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</si>
  <si>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</si>
  <si>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</si>
  <si>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</si>
  <si>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</si>
  <si>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</si>
  <si>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</si>
  <si>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</si>
  <si>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</si>
  <si>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</si>
  <si>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</si>
  <si>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</si>
  <si>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</si>
  <si>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</si>
  <si>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</si>
  <si>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</si>
  <si>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</si>
  <si>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</si>
  <si>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</si>
  <si>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</si>
  <si>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</si>
  <si>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</si>
  <si>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</si>
  <si>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</si>
  <si>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</si>
  <si>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</si>
  <si>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</si>
  <si>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</si>
  <si>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</si>
  <si>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</si>
  <si>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</si>
  <si>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</si>
  <si>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</si>
  <si>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</si>
  <si>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</si>
  <si>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</si>
  <si>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</si>
  <si>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</si>
  <si>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</si>
  <si>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</si>
  <si>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</si>
  <si>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</si>
  <si>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</si>
  <si>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</si>
  <si>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</si>
  <si>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</si>
  <si>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</si>
  <si>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</si>
  <si>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</si>
  <si>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</si>
  <si>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</si>
  <si>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</si>
  <si>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</si>
  <si>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</si>
  <si>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</si>
  <si>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</si>
  <si>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</si>
  <si>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</si>
  <si>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</si>
  <si>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</si>
  <si>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</si>
  <si>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</si>
  <si>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</si>
  <si>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</si>
  <si>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</si>
  <si>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</si>
  <si>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</si>
  <si>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</si>
  <si>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</si>
  <si>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</si>
  <si>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</si>
  <si>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</si>
  <si>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</si>
  <si>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</si>
  <si>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</si>
  <si>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</si>
  <si>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</si>
  <si>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</si>
  <si>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</si>
  <si>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</si>
  <si>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</si>
  <si>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</si>
  <si>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</si>
  <si>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</si>
  <si>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</si>
  <si>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</si>
  <si>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</si>
  <si>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</si>
  <si>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</si>
  <si>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</si>
  <si>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</si>
  <si>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</si>
  <si>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</si>
  <si>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</si>
  <si>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</si>
  <si>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</si>
  <si>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</si>
  <si>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</si>
  <si>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</si>
  <si>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</si>
  <si>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</si>
  <si>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</si>
  <si>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</si>
  <si>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</si>
  <si>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</si>
  <si>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</si>
  <si>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</si>
  <si>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</si>
  <si>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</si>
  <si>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</si>
  <si>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</si>
  <si>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</si>
  <si>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</si>
  <si>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</si>
  <si>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</si>
  <si>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</si>
  <si>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</si>
  <si>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</si>
  <si>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</si>
  <si>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</si>
  <si>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</si>
  <si>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</si>
  <si>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</si>
  <si>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</si>
  <si>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</si>
  <si>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</si>
  <si>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</si>
  <si>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</si>
  <si>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</si>
  <si>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</si>
  <si>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</si>
  <si>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</si>
  <si>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</si>
  <si>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</si>
  <si>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</si>
  <si>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</si>
  <si>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</si>
  <si>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</si>
  <si>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</si>
  <si>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</si>
  <si>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</si>
  <si>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</si>
  <si>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</si>
  <si>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</si>
  <si>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</si>
  <si>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</si>
  <si>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</si>
  <si>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</si>
  <si>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</si>
  <si>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</si>
  <si>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</si>
  <si>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</si>
  <si>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</si>
  <si>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</si>
  <si>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</si>
  <si>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</si>
  <si>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</si>
  <si>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</si>
  <si>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</si>
  <si>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</si>
  <si>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</si>
  <si>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</si>
  <si>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</si>
  <si>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</si>
  <si>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</si>
  <si>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</si>
  <si>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</si>
  <si>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</si>
  <si>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</si>
  <si>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</si>
  <si>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</si>
  <si>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</si>
  <si>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</si>
  <si>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</si>
  <si>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</si>
  <si>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</si>
  <si>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</si>
  <si>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</si>
  <si>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</si>
  <si>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</si>
  <si>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</si>
  <si>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</si>
  <si>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</si>
  <si>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</si>
  <si>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</si>
  <si>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</si>
  <si>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</si>
  <si>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</si>
  <si>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</si>
  <si>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</si>
  <si>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</si>
  <si>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</si>
  <si>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</si>
  <si>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</si>
  <si>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</si>
  <si>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</si>
  <si>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</si>
  <si>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</si>
  <si>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</si>
  <si>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</si>
  <si>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</si>
  <si>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</si>
  <si>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</si>
  <si>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</si>
  <si>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</si>
  <si>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</si>
  <si>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</si>
  <si>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</si>
  <si>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</si>
  <si>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</si>
  <si>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</si>
  <si>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</si>
  <si>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</si>
  <si>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</si>
  <si>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</si>
  <si>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</si>
  <si>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</si>
  <si>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</si>
  <si>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</si>
  <si>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</si>
  <si>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</si>
  <si>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</si>
  <si>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</si>
  <si>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</si>
  <si>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</si>
  <si>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</si>
  <si>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</si>
  <si>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</si>
  <si>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</si>
  <si>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</si>
  <si>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</si>
  <si>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</si>
  <si>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</si>
  <si>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</si>
  <si>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</si>
  <si>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</si>
  <si>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</si>
  <si>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</si>
  <si>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</si>
  <si>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</si>
  <si>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</si>
  <si>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</si>
  <si>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</si>
  <si>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</si>
  <si>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</si>
  <si>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</si>
  <si>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</si>
  <si>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</si>
  <si>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</si>
  <si>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</si>
  <si>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</si>
  <si>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</si>
  <si>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</si>
  <si>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</si>
  <si>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</si>
  <si>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</si>
  <si>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</si>
  <si>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</si>
  <si>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</si>
  <si>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</si>
  <si>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</si>
  <si>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</si>
  <si>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</si>
  <si>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</si>
  <si>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</si>
  <si>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</si>
  <si>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</si>
  <si>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</si>
  <si>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</si>
  <si>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</si>
  <si>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</si>
  <si>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</si>
  <si>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</si>
  <si>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</si>
  <si>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</si>
  <si>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</si>
  <si>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</si>
  <si>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</si>
  <si>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</si>
  <si>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</si>
  <si>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</si>
  <si>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</si>
  <si>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</si>
  <si>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</si>
  <si>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</si>
  <si>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</si>
  <si>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</si>
  <si>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</si>
  <si>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</si>
  <si>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</si>
  <si>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</si>
  <si>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</si>
  <si>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</si>
  <si>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</si>
  <si>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</si>
  <si>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</si>
  <si>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</si>
  <si>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</si>
  <si>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</si>
  <si>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</si>
  <si>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</si>
  <si>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</si>
  <si>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</si>
  <si>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</si>
  <si>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</si>
  <si>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</si>
  <si>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</si>
  <si>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</si>
  <si>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</si>
  <si>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</si>
  <si>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</si>
  <si>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</si>
  <si>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</si>
  <si>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</si>
  <si>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</si>
  <si>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</si>
  <si>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</si>
  <si>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</si>
  <si>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</si>
  <si>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</si>
  <si>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</si>
  <si>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</si>
  <si>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</si>
  <si>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</si>
  <si>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</si>
  <si>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</si>
  <si>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</si>
  <si>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</si>
  <si>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</si>
  <si>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</si>
  <si>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</si>
  <si>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</si>
  <si>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</si>
  <si>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</si>
  <si>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</si>
  <si>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</si>
  <si>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</si>
  <si>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</si>
  <si>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</si>
  <si>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</si>
  <si>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</si>
  <si>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</si>
  <si>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17055681355</t>
  </si>
  <si>
    <t>01316419</t>
  </si>
  <si>
    <t>KOMUNALAC d.o.o.</t>
  </si>
  <si>
    <t>SAMOBOR</t>
  </si>
  <si>
    <t>Ul. 151. samoborske brigade HV 2</t>
  </si>
  <si>
    <t>komunalac@komunalac-samobor.hr</t>
  </si>
  <si>
    <t>01/5554-300</t>
  </si>
  <si>
    <t>wwww.komunalac-samobor.hr</t>
  </si>
  <si>
    <t>Ljerka Duvnjak</t>
  </si>
  <si>
    <t>01/5554-311</t>
  </si>
  <si>
    <t>ljerrka-duvnjak@komunalac-samobor.hr</t>
  </si>
  <si>
    <t>Ivica Karoglan, dipl. Ing. agr.</t>
  </si>
  <si>
    <t>5.</t>
  </si>
  <si>
    <t>4.4.</t>
  </si>
  <si>
    <t>080173330</t>
  </si>
  <si>
    <t>10858279999</t>
  </si>
  <si>
    <t>4.1.</t>
  </si>
  <si>
    <t>4.1.2.</t>
  </si>
  <si>
    <t>4.1.1.</t>
  </si>
  <si>
    <t>4.2.</t>
  </si>
  <si>
    <t>4.2.1.</t>
  </si>
  <si>
    <t>4.2.2.</t>
  </si>
  <si>
    <t>4.2.3.</t>
  </si>
  <si>
    <t>4.2.4.</t>
  </si>
  <si>
    <t>4.3.</t>
  </si>
  <si>
    <t>4.9</t>
  </si>
  <si>
    <t>4.5.</t>
  </si>
  <si>
    <t>4.6.</t>
  </si>
  <si>
    <t>4.7.</t>
  </si>
  <si>
    <t>4.8.</t>
  </si>
  <si>
    <t>4.9.</t>
  </si>
  <si>
    <t>4.10.1.</t>
  </si>
  <si>
    <t>4.10.2.</t>
  </si>
  <si>
    <t>4.11.</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</si>
</sst>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 numFmtId="195" formatCode="&quot;True&quot;;&quot;True&quot;;&quot;False&quot;"/>
    <numFmt numFmtId="196" formatCode="[$¥€-2]\ #,##0.00_);[Red]\([$€-2]\ #,##0.00\)"/>
  </numFmts>
  <fonts count="9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9" fontId="0" fillId="0" borderId="0" applyFont="0" applyFill="0" applyBorder="0" applyAlignment="0" applyProtection="0"/>
    <xf numFmtId="0" fontId="88" fillId="0" borderId="7" applyNumberFormat="0" applyFill="0" applyAlignment="0" applyProtection="0"/>
    <xf numFmtId="0" fontId="5"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35"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2020</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t="str">
        <f>IF(Bilanca!H10=0,"",Bilanca!H10)</f>
        <v>4.1.</v>
      </c>
      <c r="H3" s="30">
        <f>J3/100*F3+2*K3/100*F3</f>
        <v>5501505.46</v>
      </c>
      <c r="I3" s="31">
        <f>ABS(ROUND(J3,0)-J3)+ABS(ROUND(K3,0)-K3)</f>
        <v>0</v>
      </c>
      <c r="J3" s="31">
        <f>Bilanca!I10</f>
        <v>92955213</v>
      </c>
      <c r="K3" s="31">
        <f>Bilanca!J10</f>
        <v>91060030</v>
      </c>
    </row>
    <row r="4" spans="1:11" ht="12.75">
      <c r="A4" s="4" t="s">
        <v>1088</v>
      </c>
      <c r="B4" s="29" t="s">
        <v>1888</v>
      </c>
      <c r="D4" s="4" t="s">
        <v>1521</v>
      </c>
      <c r="E4" s="4">
        <v>1</v>
      </c>
      <c r="F4" s="4">
        <f>Bilanca!G11</f>
        <v>3</v>
      </c>
      <c r="G4" s="4" t="str">
        <f>IF(Bilanca!H11=0,"",Bilanca!H11)</f>
        <v>4.1.</v>
      </c>
      <c r="H4" s="30">
        <f>J4/100*F4+2*K4/100*F4</f>
        <v>15787.29</v>
      </c>
      <c r="I4" s="31">
        <f>ABS(ROUND(J4,0)-J4)+ABS(ROUND(K4,0)-K4)</f>
        <v>0</v>
      </c>
      <c r="J4" s="31">
        <f>Bilanca!I11</f>
        <v>177165</v>
      </c>
      <c r="K4" s="31">
        <f>Bilanca!J11</f>
        <v>174539</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01316419</v>
      </c>
      <c r="D6" s="4" t="s">
        <v>1521</v>
      </c>
      <c r="E6" s="4">
        <v>1</v>
      </c>
      <c r="F6" s="4">
        <f>Bilanca!G13</f>
        <v>5</v>
      </c>
      <c r="G6" s="4" t="str">
        <f>IF(Bilanca!H13=0,"",Bilanca!H13)</f>
        <v>4.1.</v>
      </c>
      <c r="H6" s="30">
        <f aca="true" t="shared" si="0" ref="H6:H45">J6/100*F6+2*K6/100*F6</f>
        <v>22242.15</v>
      </c>
      <c r="I6" s="31">
        <f aca="true" t="shared" si="1" ref="I6:I45">ABS(ROUND(J6,0)-J6)+ABS(ROUND(K6,0)-K6)</f>
        <v>0</v>
      </c>
      <c r="J6" s="31">
        <f>Bilanca!I13</f>
        <v>95765</v>
      </c>
      <c r="K6" s="31">
        <f>Bilanca!J13</f>
        <v>174539</v>
      </c>
    </row>
    <row r="7" spans="1:11" ht="12.75">
      <c r="A7" s="4" t="s">
        <v>2353</v>
      </c>
      <c r="B7" s="29" t="str">
        <f>RefStr!M27</f>
        <v>080173330</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17055681355</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KOMUNALAC d.o.o.</v>
      </c>
      <c r="D9" s="4" t="s">
        <v>1521</v>
      </c>
      <c r="E9" s="4">
        <v>1</v>
      </c>
      <c r="F9" s="4">
        <f>Bilanca!G16</f>
        <v>8</v>
      </c>
      <c r="G9" s="4" t="str">
        <f>IF(Bilanca!H16=0,"",Bilanca!H16)</f>
        <v>4.1.</v>
      </c>
      <c r="H9" s="30">
        <f t="shared" si="0"/>
        <v>6512</v>
      </c>
      <c r="I9" s="31">
        <f t="shared" si="1"/>
        <v>0</v>
      </c>
      <c r="J9" s="31">
        <f>Bilanca!I16</f>
        <v>81400</v>
      </c>
      <c r="K9" s="31">
        <f>Bilanca!J16</f>
        <v>0</v>
      </c>
    </row>
    <row r="10" spans="1:11" ht="12.75">
      <c r="A10" s="4" t="s">
        <v>2355</v>
      </c>
      <c r="B10" s="29" t="str">
        <f>TEXT(RefStr!C31,"00000")</f>
        <v>10430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SAMOBOR</v>
      </c>
      <c r="D11" s="4" t="s">
        <v>1521</v>
      </c>
      <c r="E11" s="4">
        <v>1</v>
      </c>
      <c r="F11" s="4">
        <f>Bilanca!G18</f>
        <v>10</v>
      </c>
      <c r="G11" s="4" t="str">
        <f>IF(Bilanca!H18=0,"",Bilanca!H18)</f>
        <v>4.1.1.</v>
      </c>
      <c r="H11" s="30">
        <f t="shared" si="0"/>
        <v>26786623.9</v>
      </c>
      <c r="I11" s="31">
        <f t="shared" si="1"/>
        <v>0</v>
      </c>
      <c r="J11" s="31">
        <f>Bilanca!I18</f>
        <v>90354837</v>
      </c>
      <c r="K11" s="31">
        <f>Bilanca!J18</f>
        <v>88755701</v>
      </c>
    </row>
    <row r="12" spans="1:11" ht="12.75">
      <c r="A12" s="4" t="s">
        <v>2357</v>
      </c>
      <c r="B12" s="29" t="str">
        <f>TRIM(RefStr!C33)</f>
        <v>Ul. 151. samoborske brigade HV 2</v>
      </c>
      <c r="D12" s="4" t="s">
        <v>1521</v>
      </c>
      <c r="E12" s="4">
        <v>1</v>
      </c>
      <c r="F12" s="4">
        <f>Bilanca!G19</f>
        <v>11</v>
      </c>
      <c r="G12" s="4" t="str">
        <f>IF(Bilanca!H19=0,"",Bilanca!H19)</f>
        <v>4.1.1.</v>
      </c>
      <c r="H12" s="30">
        <f t="shared" si="0"/>
        <v>2787578.31</v>
      </c>
      <c r="I12" s="31">
        <f t="shared" si="1"/>
        <v>0</v>
      </c>
      <c r="J12" s="31">
        <f>Bilanca!I19</f>
        <v>8447207</v>
      </c>
      <c r="K12" s="31">
        <f>Bilanca!J19</f>
        <v>8447207</v>
      </c>
    </row>
    <row r="13" spans="1:11" ht="12.75">
      <c r="A13" s="4" t="s">
        <v>1193</v>
      </c>
      <c r="B13" s="29" t="str">
        <f>TRIM(RefStr!C35)</f>
        <v>komunalac@komunalac-samobor.hr</v>
      </c>
      <c r="D13" s="4" t="s">
        <v>1521</v>
      </c>
      <c r="E13" s="4">
        <v>1</v>
      </c>
      <c r="F13" s="4">
        <f>Bilanca!G20</f>
        <v>12</v>
      </c>
      <c r="G13" s="4" t="str">
        <f>IF(Bilanca!H20=0,"",Bilanca!H20)</f>
        <v>4.1.1.</v>
      </c>
      <c r="H13" s="30">
        <f t="shared" si="0"/>
        <v>20308550.04</v>
      </c>
      <c r="I13" s="31">
        <f t="shared" si="1"/>
        <v>0</v>
      </c>
      <c r="J13" s="31">
        <f>Bilanca!I20</f>
        <v>55239629</v>
      </c>
      <c r="K13" s="31">
        <f>Bilanca!J20</f>
        <v>56999144</v>
      </c>
    </row>
    <row r="14" spans="1:11" ht="12.75">
      <c r="A14" s="4" t="s">
        <v>1194</v>
      </c>
      <c r="B14" s="29" t="str">
        <f>TRIM(RefStr!C37)</f>
        <v>wwww.komunalac-samobor.hr</v>
      </c>
      <c r="D14" s="4" t="s">
        <v>1521</v>
      </c>
      <c r="E14" s="4">
        <v>1</v>
      </c>
      <c r="F14" s="4">
        <f>Bilanca!G21</f>
        <v>13</v>
      </c>
      <c r="G14" s="4" t="str">
        <f>IF(Bilanca!H21=0,"",Bilanca!H21)</f>
        <v>4.1.1.</v>
      </c>
      <c r="H14" s="30">
        <f t="shared" si="0"/>
        <v>1572947.09</v>
      </c>
      <c r="I14" s="31">
        <f t="shared" si="1"/>
        <v>0</v>
      </c>
      <c r="J14" s="31">
        <f>Bilanca!I21</f>
        <v>4102033</v>
      </c>
      <c r="K14" s="31">
        <f>Bilanca!J21</f>
        <v>3998780</v>
      </c>
    </row>
    <row r="15" spans="1:11" ht="12.75">
      <c r="A15" s="4" t="s">
        <v>2360</v>
      </c>
      <c r="B15" s="29" t="str">
        <f>TEXT(RefStr!J39,"00")</f>
        <v>01</v>
      </c>
      <c r="D15" s="4" t="s">
        <v>1521</v>
      </c>
      <c r="E15" s="4">
        <v>1</v>
      </c>
      <c r="F15" s="4">
        <f>Bilanca!G22</f>
        <v>14</v>
      </c>
      <c r="G15" s="4" t="str">
        <f>IF(Bilanca!H22=0,"",Bilanca!H22)</f>
        <v>4.1.1.</v>
      </c>
      <c r="H15" s="30">
        <f t="shared" si="0"/>
        <v>4078912.1799999997</v>
      </c>
      <c r="I15" s="31">
        <f t="shared" si="1"/>
        <v>0</v>
      </c>
      <c r="J15" s="31">
        <f>Bilanca!I22</f>
        <v>11619757</v>
      </c>
      <c r="K15" s="31">
        <f>Bilanca!J22</f>
        <v>8757665</v>
      </c>
    </row>
    <row r="16" spans="1:11" ht="12.75">
      <c r="A16" s="4" t="s">
        <v>2359</v>
      </c>
      <c r="B16" s="29" t="str">
        <f>TEXT(RefStr!C39,"000")</f>
        <v>380</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3811</v>
      </c>
      <c r="D17" s="4" t="s">
        <v>1521</v>
      </c>
      <c r="E17" s="4">
        <v>1</v>
      </c>
      <c r="F17" s="4">
        <f>Bilanca!G24</f>
        <v>16</v>
      </c>
      <c r="G17" s="4" t="str">
        <f>IF(Bilanca!H24=0,"",Bilanca!H24)</f>
        <v>4.1.1.</v>
      </c>
      <c r="H17" s="30">
        <f t="shared" si="0"/>
        <v>600164.8</v>
      </c>
      <c r="I17" s="31">
        <f t="shared" si="1"/>
        <v>0</v>
      </c>
      <c r="J17" s="31">
        <f>Bilanca!I24</f>
        <v>0</v>
      </c>
      <c r="K17" s="31">
        <f>Bilanca!J24</f>
        <v>1875515</v>
      </c>
    </row>
    <row r="18" spans="1:11" ht="12.75">
      <c r="A18" s="4" t="s">
        <v>1195</v>
      </c>
      <c r="B18" s="29" t="str">
        <f>IF(RefStr!C21&lt;&gt;"",RefStr!C21,"")</f>
        <v>NE</v>
      </c>
      <c r="D18" s="4" t="s">
        <v>1521</v>
      </c>
      <c r="E18" s="4">
        <v>1</v>
      </c>
      <c r="F18" s="4">
        <f>Bilanca!G25</f>
        <v>17</v>
      </c>
      <c r="G18" s="4" t="str">
        <f>IF(Bilanca!H25=0,"",Bilanca!H25)</f>
        <v>4.1.1.</v>
      </c>
      <c r="H18" s="30">
        <f t="shared" si="0"/>
        <v>4692260.609999999</v>
      </c>
      <c r="I18" s="31">
        <f t="shared" si="1"/>
        <v>0</v>
      </c>
      <c r="J18" s="31">
        <f>Bilanca!I25</f>
        <v>10709093</v>
      </c>
      <c r="K18" s="31">
        <f>Bilanca!J25</f>
        <v>8446220</v>
      </c>
    </row>
    <row r="19" spans="1:11" ht="12.75">
      <c r="A19" s="4" t="s">
        <v>1196</v>
      </c>
      <c r="B19" s="29" t="str">
        <f>IF(RefStr!I21&lt;&gt;"",RefStr!I21,"")</f>
        <v>DA</v>
      </c>
      <c r="D19" s="4" t="s">
        <v>1521</v>
      </c>
      <c r="E19" s="4">
        <v>1</v>
      </c>
      <c r="F19" s="4">
        <f>Bilanca!G26</f>
        <v>18</v>
      </c>
      <c r="G19" s="4" t="str">
        <f>IF(Bilanca!H26=0,"",Bilanca!H26)</f>
        <v>4.1.1.</v>
      </c>
      <c r="H19" s="30">
        <f t="shared" si="0"/>
        <v>125902.44</v>
      </c>
      <c r="I19" s="31">
        <f t="shared" si="1"/>
        <v>0</v>
      </c>
      <c r="J19" s="31">
        <f>Bilanca!I26</f>
        <v>237118</v>
      </c>
      <c r="K19" s="31">
        <f>Bilanca!J26</f>
        <v>231170</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2</v>
      </c>
      <c r="D21" s="4" t="s">
        <v>1521</v>
      </c>
      <c r="E21" s="4">
        <v>1</v>
      </c>
      <c r="F21" s="4">
        <f>Bilanca!G28</f>
        <v>20</v>
      </c>
      <c r="G21" s="4" t="str">
        <f>IF(Bilanca!H28=0,"",Bilanca!H28)</f>
        <v>4.1.2.</v>
      </c>
      <c r="H21" s="30">
        <f t="shared" si="0"/>
        <v>1306502</v>
      </c>
      <c r="I21" s="31">
        <f t="shared" si="1"/>
        <v>0</v>
      </c>
      <c r="J21" s="31">
        <f>Bilanca!I28</f>
        <v>2369490</v>
      </c>
      <c r="K21" s="31">
        <f>Bilanca!J28</f>
        <v>2081510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242</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252</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240</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246</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t="str">
        <f>IF(Bilanca!H36=0,"",Bilanca!H36)</f>
        <v>4.1.2.</v>
      </c>
      <c r="H29" s="30">
        <f t="shared" si="0"/>
        <v>1829102.7999999998</v>
      </c>
      <c r="I29" s="31">
        <f t="shared" si="1"/>
        <v>0</v>
      </c>
      <c r="J29" s="31">
        <f>Bilanca!I36</f>
        <v>2369490</v>
      </c>
      <c r="K29" s="31">
        <f>Bilanca!J36</f>
        <v>2081510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t="str">
        <f>IF(Bilanca!H39=0,"",Bilanca!H39)</f>
        <v>4.1.2.</v>
      </c>
      <c r="H32" s="30">
        <f t="shared" si="0"/>
        <v>46587.11</v>
      </c>
      <c r="I32" s="31">
        <f t="shared" si="1"/>
        <v>0</v>
      </c>
      <c r="J32" s="31">
        <f>Bilanca!I39</f>
        <v>53721</v>
      </c>
      <c r="K32" s="31">
        <f>Bilanca!J39</f>
        <v>48280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t="str">
        <f>IF(Bilanca!H43=0,"",Bilanca!H43)</f>
        <v>4.1.2.</v>
      </c>
      <c r="H36" s="30">
        <f t="shared" si="0"/>
        <v>52598.350000000006</v>
      </c>
      <c r="I36" s="31">
        <f t="shared" si="1"/>
        <v>0</v>
      </c>
      <c r="J36" s="31">
        <f>Bilanca!I43</f>
        <v>53721</v>
      </c>
      <c r="K36" s="31">
        <f>Bilanca!J43</f>
        <v>48280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t="str">
        <f>IF(Bilanca!H45=0,"",Bilanca!H45)</f>
        <v>4.2.</v>
      </c>
      <c r="H38" s="30">
        <f t="shared" si="0"/>
        <v>36278049.71</v>
      </c>
      <c r="I38" s="31">
        <f t="shared" si="1"/>
        <v>0</v>
      </c>
      <c r="J38" s="31">
        <f>Bilanca!I45</f>
        <v>35983887</v>
      </c>
      <c r="K38" s="31">
        <f>Bilanca!J45</f>
        <v>31032448</v>
      </c>
    </row>
    <row r="39" spans="1:11" ht="12.75">
      <c r="A39" s="4" t="s">
        <v>1216</v>
      </c>
      <c r="B39" s="29" t="str">
        <f>RefStr!C68</f>
        <v>Ljerka Duvnjak</v>
      </c>
      <c r="D39" s="4" t="s">
        <v>1521</v>
      </c>
      <c r="E39" s="4">
        <v>1</v>
      </c>
      <c r="F39" s="4">
        <f>Bilanca!G46</f>
        <v>38</v>
      </c>
      <c r="G39" s="4" t="str">
        <f>IF(Bilanca!H46=0,"",Bilanca!H46)</f>
        <v>4.2.1.</v>
      </c>
      <c r="H39" s="30">
        <f t="shared" si="0"/>
        <v>1221654.78</v>
      </c>
      <c r="I39" s="31">
        <f t="shared" si="1"/>
        <v>0</v>
      </c>
      <c r="J39" s="31">
        <f>Bilanca!I46</f>
        <v>1191583</v>
      </c>
      <c r="K39" s="31">
        <f>Bilanca!J46</f>
        <v>1011649</v>
      </c>
    </row>
    <row r="40" spans="1:11" ht="12.75">
      <c r="A40" s="4" t="s">
        <v>1217</v>
      </c>
      <c r="B40" s="29" t="str">
        <f>TRIM(RefStr!C70)</f>
        <v>01/5554-311</v>
      </c>
      <c r="D40" s="4" t="s">
        <v>1521</v>
      </c>
      <c r="E40" s="4">
        <v>1</v>
      </c>
      <c r="F40" s="4">
        <f>Bilanca!G47</f>
        <v>39</v>
      </c>
      <c r="G40" s="4" t="str">
        <f>IF(Bilanca!H47=0,"",Bilanca!H47)</f>
        <v>4.2.1.</v>
      </c>
      <c r="H40" s="30">
        <f t="shared" si="0"/>
        <v>698707.6199999999</v>
      </c>
      <c r="I40" s="31">
        <f t="shared" si="1"/>
        <v>0</v>
      </c>
      <c r="J40" s="31">
        <f>Bilanca!I47</f>
        <v>654970</v>
      </c>
      <c r="K40" s="31">
        <f>Bilanca!J47</f>
        <v>568294</v>
      </c>
    </row>
    <row r="41" spans="1:11" ht="12.75">
      <c r="A41" s="4" t="s">
        <v>1218</v>
      </c>
      <c r="B41" s="29" t="s">
        <v>239</v>
      </c>
      <c r="D41" s="4" t="s">
        <v>1521</v>
      </c>
      <c r="E41" s="4">
        <v>1</v>
      </c>
      <c r="F41" s="4">
        <f>Bilanca!G48</f>
        <v>40</v>
      </c>
      <c r="G41" s="4" t="str">
        <f>IF(Bilanca!H48=0,"",Bilanca!H48)</f>
        <v>4.2.1.</v>
      </c>
      <c r="H41" s="30">
        <f t="shared" si="0"/>
        <v>104642.8</v>
      </c>
      <c r="I41" s="31">
        <f t="shared" si="1"/>
        <v>0</v>
      </c>
      <c r="J41" s="31">
        <f>Bilanca!I48</f>
        <v>93243</v>
      </c>
      <c r="K41" s="31">
        <f>Bilanca!J48</f>
        <v>84182</v>
      </c>
    </row>
    <row r="42" spans="1:11" ht="12.75">
      <c r="A42" s="4" t="s">
        <v>531</v>
      </c>
      <c r="B42" s="29" t="str">
        <f>TRIM(RefStr!C72)</f>
        <v>ljerrka-duvnjak@komunalac-samobor.hr</v>
      </c>
      <c r="D42" s="4" t="s">
        <v>1521</v>
      </c>
      <c r="E42" s="4">
        <v>1</v>
      </c>
      <c r="F42" s="4">
        <f>Bilanca!G49</f>
        <v>41</v>
      </c>
      <c r="G42" s="4" t="str">
        <f>IF(Bilanca!H49=0,"",Bilanca!H49)</f>
        <v>4.2.1.</v>
      </c>
      <c r="H42" s="30">
        <f t="shared" si="0"/>
        <v>344384.42000000004</v>
      </c>
      <c r="I42" s="31">
        <f t="shared" si="1"/>
        <v>0</v>
      </c>
      <c r="J42" s="31">
        <f>Bilanca!I49</f>
        <v>335452</v>
      </c>
      <c r="K42" s="31">
        <f>Bilanca!J49</f>
        <v>252255</v>
      </c>
    </row>
    <row r="43" spans="1:11" ht="12.75">
      <c r="A43" s="4" t="s">
        <v>530</v>
      </c>
      <c r="B43" s="29" t="str">
        <f>TRIM(RefStr!A75)</f>
        <v>Ivica Karoglan, dipl. Ing. agr.</v>
      </c>
      <c r="D43" s="4" t="s">
        <v>1521</v>
      </c>
      <c r="E43" s="4">
        <v>1</v>
      </c>
      <c r="F43" s="4">
        <f>Bilanca!G50</f>
        <v>42</v>
      </c>
      <c r="G43" s="4" t="str">
        <f>IF(Bilanca!H50=0,"",Bilanca!H50)</f>
        <v>4.2.1.</v>
      </c>
      <c r="H43" s="30">
        <f t="shared" si="0"/>
        <v>135136.68000000002</v>
      </c>
      <c r="I43" s="31">
        <f t="shared" si="1"/>
        <v>0</v>
      </c>
      <c r="J43" s="31">
        <f>Bilanca!I50</f>
        <v>107918</v>
      </c>
      <c r="K43" s="31">
        <f>Bilanca!J50</f>
        <v>106918</v>
      </c>
    </row>
    <row r="44" spans="1:11" ht="12.75">
      <c r="A44" s="4" t="s">
        <v>2853</v>
      </c>
      <c r="B44" s="29" t="str">
        <f>IF(RefStr!C4&lt;&gt;"",TEXT(RefStr!C4,"YYYYMMDD"),"")</f>
        <v>20200101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20201231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t="str">
        <f>IF(Bilanca!H54=0,"",Bilanca!H54)</f>
        <v>4.2.2.</v>
      </c>
      <c r="H47" s="30">
        <f t="shared" si="2"/>
        <v>40055350.08</v>
      </c>
      <c r="I47" s="31">
        <f t="shared" si="3"/>
        <v>0</v>
      </c>
      <c r="J47" s="31">
        <f>Bilanca!I54</f>
        <v>31900004</v>
      </c>
      <c r="K47" s="31">
        <f>Bilanca!J54</f>
        <v>27588422</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DA</v>
      </c>
      <c r="D50" s="4" t="s">
        <v>1521</v>
      </c>
      <c r="E50" s="4">
        <v>1</v>
      </c>
      <c r="F50" s="4">
        <f>Bilanca!G57</f>
        <v>49</v>
      </c>
      <c r="G50" s="4" t="str">
        <f>IF(Bilanca!H57=0,"",Bilanca!H57)</f>
        <v>4.2.2.</v>
      </c>
      <c r="H50" s="30">
        <f t="shared" si="2"/>
        <v>8907391.01</v>
      </c>
      <c r="I50" s="31">
        <f t="shared" si="3"/>
        <v>0</v>
      </c>
      <c r="J50" s="31">
        <f>Bilanca!I57</f>
        <v>6685693</v>
      </c>
      <c r="K50" s="31">
        <f>Bilanca!J57</f>
        <v>5746328</v>
      </c>
    </row>
    <row r="51" spans="1:11" ht="12.75">
      <c r="A51" s="4" t="s">
        <v>288</v>
      </c>
      <c r="B51" s="29" t="str">
        <f>RefStr!I60</f>
        <v>DA</v>
      </c>
      <c r="D51" s="4" t="s">
        <v>1521</v>
      </c>
      <c r="E51" s="4">
        <v>1</v>
      </c>
      <c r="F51" s="4">
        <f>Bilanca!G58</f>
        <v>50</v>
      </c>
      <c r="G51" s="4" t="str">
        <f>IF(Bilanca!H58=0,"",Bilanca!H58)</f>
        <v>4.2.2.</v>
      </c>
      <c r="H51" s="30">
        <f t="shared" si="2"/>
        <v>3014</v>
      </c>
      <c r="I51" s="31">
        <f t="shared" si="3"/>
        <v>0</v>
      </c>
      <c r="J51" s="31">
        <f>Bilanca!I58</f>
        <v>1454</v>
      </c>
      <c r="K51" s="31">
        <f>Bilanca!J58</f>
        <v>2287</v>
      </c>
    </row>
    <row r="52" spans="1:11" ht="12.75">
      <c r="A52" s="4" t="s">
        <v>1219</v>
      </c>
      <c r="B52" s="29" t="s">
        <v>2619</v>
      </c>
      <c r="D52" s="4" t="s">
        <v>1521</v>
      </c>
      <c r="E52" s="4">
        <v>1</v>
      </c>
      <c r="F52" s="4">
        <f>Bilanca!G59</f>
        <v>51</v>
      </c>
      <c r="G52" s="4" t="str">
        <f>IF(Bilanca!H59=0,"",Bilanca!H59)</f>
        <v>4.2.2.</v>
      </c>
      <c r="H52" s="30">
        <f t="shared" si="2"/>
        <v>104512.77</v>
      </c>
      <c r="I52" s="31">
        <f t="shared" si="3"/>
        <v>0</v>
      </c>
      <c r="J52" s="31">
        <f>Bilanca!I59</f>
        <v>56599</v>
      </c>
      <c r="K52" s="31">
        <f>Bilanca!J59</f>
        <v>74164</v>
      </c>
    </row>
    <row r="53" spans="1:11" ht="12.75">
      <c r="A53" s="4" t="s">
        <v>532</v>
      </c>
      <c r="B53" s="29" t="str">
        <f>RefStr!I56</f>
        <v>DA</v>
      </c>
      <c r="D53" s="4" t="s">
        <v>1521</v>
      </c>
      <c r="E53" s="4">
        <v>1</v>
      </c>
      <c r="F53" s="4">
        <f>Bilanca!G60</f>
        <v>52</v>
      </c>
      <c r="G53" s="4" t="str">
        <f>IF(Bilanca!H60=0,"",Bilanca!H60)</f>
        <v>4.2.2.</v>
      </c>
      <c r="H53" s="30">
        <f t="shared" si="2"/>
        <v>35717522.879999995</v>
      </c>
      <c r="I53" s="31">
        <f t="shared" si="3"/>
        <v>0</v>
      </c>
      <c r="J53" s="31">
        <f>Bilanca!I60</f>
        <v>25156258</v>
      </c>
      <c r="K53" s="31">
        <f>Bilanca!J60</f>
        <v>21765643</v>
      </c>
    </row>
    <row r="54" spans="1:11" ht="12.75">
      <c r="A54" s="4" t="s">
        <v>533</v>
      </c>
      <c r="B54" s="29" t="str">
        <f>RefStr!I62</f>
        <v>DA</v>
      </c>
      <c r="D54" s="4" t="s">
        <v>1521</v>
      </c>
      <c r="E54" s="4">
        <v>1</v>
      </c>
      <c r="F54" s="4">
        <f>Bilanca!G61</f>
        <v>53</v>
      </c>
      <c r="G54" s="4" t="str">
        <f>IF(Bilanca!H61=0,"",Bilanca!H61)</f>
        <v>4.2.3.</v>
      </c>
      <c r="H54" s="30">
        <f t="shared" si="2"/>
        <v>164934.94</v>
      </c>
      <c r="I54" s="31">
        <f t="shared" si="3"/>
        <v>0</v>
      </c>
      <c r="J54" s="31">
        <f>Bilanca!I61</f>
        <v>125886</v>
      </c>
      <c r="K54" s="31">
        <f>Bilanca!J61</f>
        <v>92656</v>
      </c>
    </row>
    <row r="55" spans="1:11" ht="12.75">
      <c r="A55" s="4" t="s">
        <v>456</v>
      </c>
      <c r="B55" s="29" t="str">
        <f>RefStr!I64</f>
        <v>DA</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4427173569.539998</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t="str">
        <f>IF(Bilanca!H69=0,"",Bilanca!H69)</f>
        <v>4.2.3.</v>
      </c>
      <c r="H62" s="30">
        <f t="shared" si="2"/>
        <v>189830.77999999997</v>
      </c>
      <c r="I62" s="31">
        <f t="shared" si="3"/>
        <v>0</v>
      </c>
      <c r="J62" s="31">
        <f>Bilanca!I69</f>
        <v>125886</v>
      </c>
      <c r="K62" s="31">
        <f>Bilanca!J69</f>
        <v>92656</v>
      </c>
    </row>
    <row r="63" spans="1:11" ht="12.75">
      <c r="A63" s="4" t="s">
        <v>777</v>
      </c>
      <c r="B63" s="29" t="str">
        <f>IF(ISNUMBER(VALUE(RefStr!L21)),TEXT(INT(VALUE(RefStr!L21)),"00000000000"),"")</f>
        <v>10858279999</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t="str">
        <f>IF(Bilanca!H71=0,"",Bilanca!H71)</f>
        <v>4.2.4.</v>
      </c>
      <c r="H64" s="30">
        <f t="shared" si="2"/>
        <v>4690889.28</v>
      </c>
      <c r="I64" s="31">
        <f t="shared" si="3"/>
        <v>0</v>
      </c>
      <c r="J64" s="31">
        <f>Bilanca!I71</f>
        <v>2766414</v>
      </c>
      <c r="K64" s="31">
        <f>Bilanca!J71</f>
        <v>2339721</v>
      </c>
    </row>
    <row r="65" spans="1:11" ht="12.75">
      <c r="A65" s="4" t="s">
        <v>687</v>
      </c>
      <c r="B65" s="29" t="str">
        <f>RefStr!N19</f>
        <v>HSFI</v>
      </c>
      <c r="D65" s="4" t="s">
        <v>1521</v>
      </c>
      <c r="E65" s="4">
        <v>1</v>
      </c>
      <c r="F65" s="4">
        <f>Bilanca!G72</f>
        <v>64</v>
      </c>
      <c r="G65" s="4" t="str">
        <f>IF(Bilanca!H72=0,"",Bilanca!H72)</f>
        <v>4.3.</v>
      </c>
      <c r="H65" s="30">
        <f t="shared" si="2"/>
        <v>3601.92</v>
      </c>
      <c r="I65" s="31">
        <f t="shared" si="3"/>
        <v>0</v>
      </c>
      <c r="J65" s="31">
        <f>Bilanca!I72</f>
        <v>2442</v>
      </c>
      <c r="K65" s="31">
        <f>Bilanca!J72</f>
        <v>1593</v>
      </c>
    </row>
    <row r="66" spans="1:11" ht="12.75">
      <c r="A66" s="4" t="s">
        <v>688</v>
      </c>
      <c r="B66" s="29">
        <f>RefStr!C23</f>
        <v>1</v>
      </c>
      <c r="D66" s="4" t="s">
        <v>1521</v>
      </c>
      <c r="E66" s="4">
        <v>1</v>
      </c>
      <c r="F66" s="4">
        <f>Bilanca!G73</f>
        <v>65</v>
      </c>
      <c r="G66" s="4">
        <f>IF(Bilanca!H73=0,"",Bilanca!H73)</f>
      </c>
      <c r="H66" s="30">
        <f t="shared" si="2"/>
        <v>242534294.59999996</v>
      </c>
      <c r="I66" s="31">
        <f t="shared" si="3"/>
        <v>0</v>
      </c>
      <c r="J66" s="31">
        <f>Bilanca!I73</f>
        <v>128941542</v>
      </c>
      <c r="K66" s="31">
        <f>Bilanca!J73</f>
        <v>122094071</v>
      </c>
    </row>
    <row r="67" spans="1:11" ht="12.75">
      <c r="A67" s="4" t="s">
        <v>689</v>
      </c>
      <c r="B67" s="29" t="str">
        <f>RefStr!L35</f>
        <v>01/5554-300</v>
      </c>
      <c r="D67" s="4" t="s">
        <v>1521</v>
      </c>
      <c r="E67" s="4">
        <v>1</v>
      </c>
      <c r="F67" s="4">
        <f>Bilanca!G74</f>
        <v>66</v>
      </c>
      <c r="G67" s="4" t="str">
        <f>IF(Bilanca!H74=0,"",Bilanca!H74)</f>
        <v>4.9</v>
      </c>
      <c r="H67" s="30">
        <f t="shared" si="2"/>
        <v>177887988.3</v>
      </c>
      <c r="I67" s="31">
        <f t="shared" si="3"/>
        <v>0</v>
      </c>
      <c r="J67" s="31">
        <f>Bilanca!I74</f>
        <v>89356299</v>
      </c>
      <c r="K67" s="31">
        <f>Bilanca!J74</f>
        <v>90085478</v>
      </c>
    </row>
    <row r="68" spans="1:11" ht="12.75">
      <c r="A68" s="4" t="s">
        <v>690</v>
      </c>
      <c r="B68" s="29">
        <f>RefStr!C44</f>
        <v>1</v>
      </c>
      <c r="D68" s="4" t="s">
        <v>1521</v>
      </c>
      <c r="E68" s="4">
        <v>1</v>
      </c>
      <c r="F68" s="4">
        <f>Bilanca!G76</f>
        <v>67</v>
      </c>
      <c r="G68" s="4" t="str">
        <f>IF(Bilanca!H76=0,"",Bilanca!H76)</f>
        <v>4.4.</v>
      </c>
      <c r="H68" s="30">
        <f t="shared" si="2"/>
        <v>105238440.33</v>
      </c>
      <c r="I68" s="31">
        <f t="shared" si="3"/>
        <v>0</v>
      </c>
      <c r="J68" s="31">
        <f>Bilanca!I76</f>
        <v>54651827</v>
      </c>
      <c r="K68" s="31">
        <f>Bilanca!J76</f>
        <v>51210236</v>
      </c>
    </row>
    <row r="69" spans="1:11" ht="12.75">
      <c r="A69" s="4" t="s">
        <v>691</v>
      </c>
      <c r="B69" s="29">
        <f>RefStr!M46</f>
        <v>0</v>
      </c>
      <c r="D69" s="4" t="s">
        <v>1521</v>
      </c>
      <c r="E69" s="4">
        <v>1</v>
      </c>
      <c r="F69" s="4">
        <f>Bilanca!G77</f>
        <v>68</v>
      </c>
      <c r="G69" s="4" t="str">
        <f>IF(Bilanca!H77=0,"",Bilanca!H77)</f>
        <v>4.4.</v>
      </c>
      <c r="H69" s="30">
        <f t="shared" si="2"/>
        <v>123259656</v>
      </c>
      <c r="I69" s="31">
        <f t="shared" si="3"/>
        <v>0</v>
      </c>
      <c r="J69" s="31">
        <f>Bilanca!I77</f>
        <v>60421400</v>
      </c>
      <c r="K69" s="31">
        <f>Bilanca!J77</f>
        <v>60421400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t="str">
        <f>IF(Bilanca!H79=0,"",Bilanca!H79)</f>
        <v>4.4.</v>
      </c>
      <c r="H71" s="30">
        <f t="shared" si="2"/>
        <v>1515341.1</v>
      </c>
      <c r="I71" s="31">
        <f t="shared" si="3"/>
        <v>0</v>
      </c>
      <c r="J71" s="31">
        <f>Bilanca!I79</f>
        <v>721591</v>
      </c>
      <c r="K71" s="31">
        <f>Bilanca!J79</f>
        <v>721591</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t="str">
        <f>IF(Bilanca!H84=0,"",Bilanca!H84)</f>
        <v>4.4.</v>
      </c>
      <c r="H76" s="30">
        <f t="shared" si="2"/>
        <v>1623579.75</v>
      </c>
      <c r="I76" s="31">
        <f t="shared" si="3"/>
        <v>0</v>
      </c>
      <c r="J76" s="31">
        <f>Bilanca!I84</f>
        <v>721591</v>
      </c>
      <c r="K76" s="31">
        <f>Bilanca!J84</f>
        <v>721591</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t="str">
        <f>IF(Bilanca!H90=0,"",Bilanca!H90)</f>
        <v>4.4.</v>
      </c>
      <c r="H82" s="30">
        <f t="shared" si="2"/>
        <v>-15838692.21</v>
      </c>
      <c r="I82" s="31">
        <f t="shared" si="3"/>
        <v>0</v>
      </c>
      <c r="J82" s="31">
        <f>Bilanca!I90</f>
        <v>-6571613</v>
      </c>
      <c r="K82" s="31">
        <f>Bilanca!J90</f>
        <v>-6491164</v>
      </c>
    </row>
    <row r="83" spans="4:11" ht="12.75">
      <c r="D83" s="4" t="s">
        <v>1521</v>
      </c>
      <c r="E83" s="4">
        <v>1</v>
      </c>
      <c r="F83" s="4">
        <f>Bilanca!G91</f>
        <v>82</v>
      </c>
      <c r="G83" s="4">
        <f>IF(Bilanca!H91=0,"",Bilanca!H91)</f>
      </c>
      <c r="H83" s="30">
        <f t="shared" si="2"/>
        <v>0</v>
      </c>
      <c r="I83" s="31">
        <f t="shared" si="3"/>
        <v>0</v>
      </c>
      <c r="J83" s="31">
        <f>Bilanca!I91</f>
        <v>0</v>
      </c>
      <c r="K83" s="31">
        <f>Bilanca!J91</f>
        <v>0</v>
      </c>
    </row>
    <row r="84" spans="4:11" ht="12.75">
      <c r="D84" s="4" t="s">
        <v>1521</v>
      </c>
      <c r="E84" s="4">
        <v>1</v>
      </c>
      <c r="F84" s="4">
        <f>Bilanca!G92</f>
        <v>83</v>
      </c>
      <c r="G84" s="4" t="str">
        <f>IF(Bilanca!H92=0,"",Bilanca!H92)</f>
        <v>4.4.</v>
      </c>
      <c r="H84" s="30">
        <f t="shared" si="2"/>
        <v>16229771.030000001</v>
      </c>
      <c r="I84" s="31">
        <f t="shared" si="3"/>
        <v>0</v>
      </c>
      <c r="J84" s="31">
        <f>Bilanca!I92</f>
        <v>6571613</v>
      </c>
      <c r="K84" s="31">
        <f>Bilanca!J92</f>
        <v>6491164</v>
      </c>
    </row>
    <row r="85" spans="4:11" ht="12.75">
      <c r="D85" s="4" t="s">
        <v>1521</v>
      </c>
      <c r="E85" s="4">
        <v>1</v>
      </c>
      <c r="F85" s="4">
        <f>Bilanca!G93</f>
        <v>84</v>
      </c>
      <c r="G85" s="4" t="str">
        <f>IF(Bilanca!H93=0,"",Bilanca!H93)</f>
        <v>4.4.</v>
      </c>
      <c r="H85" s="30">
        <f>J85/100*F85+2*K85/100*F85</f>
        <v>-5714295.720000001</v>
      </c>
      <c r="I85" s="31">
        <f>ABS(ROUND(J85,0)-J85)+ABS(ROUND(K85,0)-K85)</f>
        <v>0</v>
      </c>
      <c r="J85" s="31">
        <f>Bilanca!I93</f>
        <v>80449</v>
      </c>
      <c r="K85" s="31">
        <f>Bilanca!J93</f>
        <v>-3441591</v>
      </c>
    </row>
    <row r="86" spans="4:11" ht="12.75">
      <c r="D86" s="4" t="s">
        <v>1521</v>
      </c>
      <c r="E86" s="4">
        <v>1</v>
      </c>
      <c r="F86" s="4">
        <f>Bilanca!G94</f>
        <v>85</v>
      </c>
      <c r="G86" s="4" t="str">
        <f>IF(Bilanca!H94=0,"",Bilanca!H94)</f>
        <v>4.4.</v>
      </c>
      <c r="H86" s="30">
        <f>J86/100*F86+2*K86/100*F86</f>
        <v>68381.65</v>
      </c>
      <c r="I86" s="31">
        <f>ABS(ROUND(J86,0)-J86)+ABS(ROUND(K86,0)-K86)</f>
        <v>0</v>
      </c>
      <c r="J86" s="31">
        <f>Bilanca!I94</f>
        <v>80449</v>
      </c>
      <c r="K86" s="31">
        <f>Bilanca!J94</f>
        <v>0</v>
      </c>
    </row>
    <row r="87" spans="4:11" ht="12.75">
      <c r="D87" s="4" t="s">
        <v>1521</v>
      </c>
      <c r="E87" s="4">
        <v>1</v>
      </c>
      <c r="F87" s="4">
        <f>Bilanca!G95</f>
        <v>86</v>
      </c>
      <c r="G87" s="4" t="str">
        <f>IF(Bilanca!H95=0,"",Bilanca!H95)</f>
        <v>4.4.</v>
      </c>
      <c r="H87" s="30">
        <f aca="true" t="shared" si="4" ref="H87:H127">J87/100*F87+2*K87/100*F87</f>
        <v>5919536.5200000005</v>
      </c>
      <c r="I87" s="31">
        <f aca="true" t="shared" si="5" ref="I87:I127">ABS(ROUND(J87,0)-J87)+ABS(ROUND(K87,0)-K87)</f>
        <v>0</v>
      </c>
      <c r="J87" s="31">
        <f>Bilanca!I95</f>
        <v>0</v>
      </c>
      <c r="K87" s="31">
        <f>Bilanca!J95</f>
        <v>3441591</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t="str">
        <f>IF(Bilanca!H97=0,"",Bilanca!H97)</f>
        <v>4.5.</v>
      </c>
      <c r="H89" s="30">
        <f t="shared" si="4"/>
        <v>1403181.12</v>
      </c>
      <c r="I89" s="31">
        <f t="shared" si="5"/>
        <v>0</v>
      </c>
      <c r="J89" s="31">
        <f>Bilanca!I97</f>
        <v>561730</v>
      </c>
      <c r="K89" s="31">
        <f>Bilanca!J97</f>
        <v>516397</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t="str">
        <f>IF(Bilanca!H100=0,"",Bilanca!H100)</f>
        <v>4.5.</v>
      </c>
      <c r="H92" s="30">
        <f t="shared" si="4"/>
        <v>1451016.84</v>
      </c>
      <c r="I92" s="31">
        <f t="shared" si="5"/>
        <v>0</v>
      </c>
      <c r="J92" s="31">
        <f>Bilanca!I100</f>
        <v>561730</v>
      </c>
      <c r="K92" s="31">
        <f>Bilanca!J100</f>
        <v>516397</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t="str">
        <f>IF(Bilanca!H104=0,"",Bilanca!H104)</f>
        <v>4.6.</v>
      </c>
      <c r="H96" s="30">
        <f t="shared" si="4"/>
        <v>47181120.15</v>
      </c>
      <c r="I96" s="31">
        <f t="shared" si="5"/>
        <v>0</v>
      </c>
      <c r="J96" s="31">
        <f>Bilanca!I104</f>
        <v>19201089</v>
      </c>
      <c r="K96" s="31">
        <f>Bilanca!J104</f>
        <v>15231624</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t="str">
        <f>IF(Bilanca!H110=0,"",Bilanca!H110)</f>
        <v>4.6.</v>
      </c>
      <c r="H102" s="30">
        <f t="shared" si="4"/>
        <v>49979300.56</v>
      </c>
      <c r="I102" s="31">
        <f t="shared" si="5"/>
        <v>0</v>
      </c>
      <c r="J102" s="31">
        <f>Bilanca!I110</f>
        <v>19139212</v>
      </c>
      <c r="K102" s="31">
        <f>Bilanca!J110</f>
        <v>15172622</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t="str">
        <f>IF(Bilanca!H114=0,"",Bilanca!H114)</f>
        <v>4.6.</v>
      </c>
      <c r="H106" s="30">
        <f t="shared" si="4"/>
        <v>188875.05</v>
      </c>
      <c r="I106" s="31">
        <f t="shared" si="5"/>
        <v>0</v>
      </c>
      <c r="J106" s="31">
        <f>Bilanca!I114</f>
        <v>61877</v>
      </c>
      <c r="K106" s="31">
        <f>Bilanca!J114</f>
        <v>59002</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t="str">
        <f>IF(Bilanca!H116=0,"",Bilanca!H116)</f>
        <v>4.7.</v>
      </c>
      <c r="H108" s="30">
        <f t="shared" si="4"/>
        <v>126702344.41999999</v>
      </c>
      <c r="I108" s="31">
        <f t="shared" si="5"/>
        <v>0</v>
      </c>
      <c r="J108" s="31">
        <f>Bilanca!I116</f>
        <v>41671736</v>
      </c>
      <c r="K108" s="31">
        <f>Bilanca!J116</f>
        <v>38370835</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t="str">
        <f>IF(Bilanca!H121=0,"",Bilanca!H121)</f>
        <v>4.7.</v>
      </c>
      <c r="H113" s="30">
        <f t="shared" si="4"/>
        <v>451039.68000000005</v>
      </c>
      <c r="I113" s="31">
        <f t="shared" si="5"/>
        <v>0</v>
      </c>
      <c r="J113" s="31">
        <f>Bilanca!I121</f>
        <v>167240</v>
      </c>
      <c r="K113" s="31">
        <f>Bilanca!J121</f>
        <v>117737</v>
      </c>
    </row>
    <row r="114" spans="4:11" ht="12.75">
      <c r="D114" s="4" t="s">
        <v>1521</v>
      </c>
      <c r="E114" s="4">
        <v>1</v>
      </c>
      <c r="F114" s="4">
        <f>Bilanca!G122</f>
        <v>113</v>
      </c>
      <c r="G114" s="4" t="str">
        <f>IF(Bilanca!H122=0,"",Bilanca!H122)</f>
        <v>4.7.</v>
      </c>
      <c r="H114" s="30">
        <f t="shared" si="4"/>
        <v>28507706.67</v>
      </c>
      <c r="I114" s="31">
        <f t="shared" si="5"/>
        <v>0</v>
      </c>
      <c r="J114" s="31">
        <f>Bilanca!I122</f>
        <v>8224219</v>
      </c>
      <c r="K114" s="31">
        <f>Bilanca!J122</f>
        <v>8501920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t="str">
        <f>IF(Bilanca!H124=0,"",Bilanca!H124)</f>
        <v>4.7.</v>
      </c>
      <c r="H116" s="30">
        <f t="shared" si="4"/>
        <v>14736574.95</v>
      </c>
      <c r="I116" s="31">
        <f t="shared" si="5"/>
        <v>0</v>
      </c>
      <c r="J116" s="31">
        <f>Bilanca!I124</f>
        <v>4178527</v>
      </c>
      <c r="K116" s="31">
        <f>Bilanca!J124</f>
        <v>4317943</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t="str">
        <f>IF(Bilanca!H126=0,"",Bilanca!H126)</f>
        <v>4.7.</v>
      </c>
      <c r="H118" s="30">
        <f t="shared" si="4"/>
        <v>7753347.81</v>
      </c>
      <c r="I118" s="31">
        <f t="shared" si="5"/>
        <v>0</v>
      </c>
      <c r="J118" s="31">
        <f>Bilanca!I126</f>
        <v>2140537</v>
      </c>
      <c r="K118" s="31">
        <f>Bilanca!J126</f>
        <v>2243128</v>
      </c>
    </row>
    <row r="119" spans="4:11" ht="12.75">
      <c r="D119" s="4" t="s">
        <v>1521</v>
      </c>
      <c r="E119" s="4">
        <v>1</v>
      </c>
      <c r="F119" s="4">
        <f>Bilanca!G127</f>
        <v>118</v>
      </c>
      <c r="G119" s="4" t="str">
        <f>IF(Bilanca!H127=0,"",Bilanca!H127)</f>
        <v>4.7.</v>
      </c>
      <c r="H119" s="30">
        <f t="shared" si="4"/>
        <v>2049529.02</v>
      </c>
      <c r="I119" s="31">
        <f t="shared" si="5"/>
        <v>0</v>
      </c>
      <c r="J119" s="31">
        <f>Bilanca!I127</f>
        <v>439725</v>
      </c>
      <c r="K119" s="31">
        <f>Bilanca!J127</f>
        <v>648582</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t="str">
        <f>IF(Bilanca!H130=0,"",Bilanca!H130)</f>
        <v>4.7.</v>
      </c>
      <c r="H122" s="30">
        <f t="shared" si="4"/>
        <v>86641490.98</v>
      </c>
      <c r="I122" s="31">
        <f t="shared" si="5"/>
        <v>0</v>
      </c>
      <c r="J122" s="31">
        <f>Bilanca!I130</f>
        <v>26521488</v>
      </c>
      <c r="K122" s="31">
        <f>Bilanca!J130</f>
        <v>22541525</v>
      </c>
    </row>
    <row r="123" spans="4:11" ht="12.75">
      <c r="D123" s="4" t="s">
        <v>1521</v>
      </c>
      <c r="E123" s="4">
        <v>1</v>
      </c>
      <c r="F123" s="4">
        <f>Bilanca!G131</f>
        <v>122</v>
      </c>
      <c r="G123" s="4" t="str">
        <f>IF(Bilanca!H131=0,"",Bilanca!H131)</f>
        <v>4.8.</v>
      </c>
      <c r="H123" s="30">
        <f t="shared" si="4"/>
        <v>56589843.96000001</v>
      </c>
      <c r="I123" s="31">
        <f t="shared" si="5"/>
        <v>0</v>
      </c>
      <c r="J123" s="31">
        <f>Bilanca!I131</f>
        <v>12855160</v>
      </c>
      <c r="K123" s="31">
        <f>Bilanca!J131</f>
        <v>16764979</v>
      </c>
    </row>
    <row r="124" spans="4:11" ht="12.75">
      <c r="D124" s="4" t="s">
        <v>1521</v>
      </c>
      <c r="E124" s="4">
        <v>1</v>
      </c>
      <c r="F124" s="4">
        <f>Bilanca!G132</f>
        <v>123</v>
      </c>
      <c r="G124" s="4">
        <f>IF(Bilanca!H132=0,"",Bilanca!H132)</f>
      </c>
      <c r="H124" s="30">
        <f t="shared" si="4"/>
        <v>458949511.31999993</v>
      </c>
      <c r="I124" s="31">
        <f t="shared" si="5"/>
        <v>0</v>
      </c>
      <c r="J124" s="31">
        <f>Bilanca!I132</f>
        <v>128941542</v>
      </c>
      <c r="K124" s="31">
        <f>Bilanca!J132</f>
        <v>122094071</v>
      </c>
    </row>
    <row r="125" spans="4:11" ht="12.75">
      <c r="D125" s="4" t="s">
        <v>1521</v>
      </c>
      <c r="E125" s="4">
        <v>1</v>
      </c>
      <c r="F125" s="4">
        <f>Bilanca!G133</f>
        <v>124</v>
      </c>
      <c r="G125" s="4" t="str">
        <f>IF(Bilanca!H133=0,"",Bilanca!H133)</f>
        <v>4.9.</v>
      </c>
      <c r="H125" s="30">
        <f t="shared" si="4"/>
        <v>334213796.2</v>
      </c>
      <c r="I125" s="31">
        <f t="shared" si="5"/>
        <v>0</v>
      </c>
      <c r="J125" s="31">
        <f>Bilanca!I133</f>
        <v>89356299</v>
      </c>
      <c r="K125" s="31">
        <f>Bilanca!J133</f>
        <v>90085478</v>
      </c>
    </row>
    <row r="126" spans="4:11" ht="12.75">
      <c r="D126" s="4" t="s">
        <v>541</v>
      </c>
      <c r="E126" s="4">
        <v>2</v>
      </c>
      <c r="F126" s="4">
        <f>RDG!G8</f>
        <v>125</v>
      </c>
      <c r="G126" s="4" t="str">
        <f>IF(RDG!H8=0,"",RDG!H8)</f>
        <v>4.10.1.</v>
      </c>
      <c r="H126" s="30">
        <f t="shared" si="4"/>
        <v>239090157.5</v>
      </c>
      <c r="I126" s="4">
        <f t="shared" si="5"/>
        <v>0</v>
      </c>
      <c r="J126" s="31">
        <f>RDG!I8</f>
        <v>62848078</v>
      </c>
      <c r="K126" s="31">
        <f>RDG!J8</f>
        <v>64212024</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t="str">
        <f>IF(RDG!H10=0,"",RDG!H10)</f>
        <v>4.10.1.</v>
      </c>
      <c r="H128" s="30">
        <f aca="true" t="shared" si="6" ref="H128:H190">J128/100*F128+2*K128/100*F128</f>
        <v>232826585.39999998</v>
      </c>
      <c r="I128" s="4">
        <f aca="true" t="shared" si="7" ref="I128:I190">ABS(ROUND(J128,0)-J128)+ABS(ROUND(K128,0)-K128)</f>
        <v>0</v>
      </c>
      <c r="J128" s="31">
        <f>RDG!I10</f>
        <v>61098780</v>
      </c>
      <c r="K128" s="31">
        <f>RDG!J10</f>
        <v>61114620</v>
      </c>
    </row>
    <row r="129" spans="4:11" ht="12.75">
      <c r="D129" s="4" t="s">
        <v>541</v>
      </c>
      <c r="E129" s="4">
        <v>2</v>
      </c>
      <c r="F129" s="4">
        <f>RDG!G11</f>
        <v>128</v>
      </c>
      <c r="G129" s="4" t="str">
        <f>IF(RDG!H11=0,"",RDG!H11)</f>
        <v>4.10.1.</v>
      </c>
      <c r="H129" s="30">
        <f t="shared" si="6"/>
        <v>2232320</v>
      </c>
      <c r="I129" s="4">
        <f t="shared" si="7"/>
        <v>0</v>
      </c>
      <c r="J129" s="31">
        <f>RDG!I11</f>
        <v>0</v>
      </c>
      <c r="K129" s="31">
        <f>RDG!J11</f>
        <v>872000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t="str">
        <f>IF(RDG!H13=0,"",RDG!H13)</f>
        <v>4.10.1.</v>
      </c>
      <c r="H131" s="30">
        <f t="shared" si="6"/>
        <v>8060137.800000001</v>
      </c>
      <c r="I131" s="4">
        <f t="shared" si="7"/>
        <v>0</v>
      </c>
      <c r="J131" s="31">
        <f>RDG!I13</f>
        <v>1749298</v>
      </c>
      <c r="K131" s="31">
        <f>RDG!J13</f>
        <v>2225404</v>
      </c>
    </row>
    <row r="132" spans="4:11" ht="12.75">
      <c r="D132" s="4" t="s">
        <v>541</v>
      </c>
      <c r="E132" s="4">
        <v>2</v>
      </c>
      <c r="F132" s="4">
        <f>RDG!G14</f>
        <v>131</v>
      </c>
      <c r="G132" s="4" t="str">
        <f>IF(RDG!H14=0,"",RDG!H14)</f>
        <v>4.10.2.</v>
      </c>
      <c r="H132" s="30">
        <f t="shared" si="6"/>
        <v>257172161.36999997</v>
      </c>
      <c r="I132" s="4">
        <f t="shared" si="7"/>
        <v>0</v>
      </c>
      <c r="J132" s="31">
        <f>RDG!I14</f>
        <v>62186639</v>
      </c>
      <c r="K132" s="31">
        <f>RDG!J14</f>
        <v>67063994</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t="str">
        <f>IF(RDG!H16=0,"",RDG!H16)</f>
        <v>4.10.2.</v>
      </c>
      <c r="H134" s="30">
        <f t="shared" si="6"/>
        <v>107906291.5</v>
      </c>
      <c r="I134" s="4">
        <f t="shared" si="7"/>
        <v>0</v>
      </c>
      <c r="J134" s="31">
        <f>RDG!I16</f>
        <v>24567202</v>
      </c>
      <c r="K134" s="31">
        <f>RDG!J16</f>
        <v>28282674</v>
      </c>
    </row>
    <row r="135" spans="4:11" ht="12.75">
      <c r="D135" s="4" t="s">
        <v>541</v>
      </c>
      <c r="E135" s="4">
        <v>2</v>
      </c>
      <c r="F135" s="4">
        <f>RDG!G17</f>
        <v>134</v>
      </c>
      <c r="G135" s="4" t="str">
        <f>IF(RDG!H17=0,"",RDG!H17)</f>
        <v>4.10.2.</v>
      </c>
      <c r="H135" s="30">
        <f t="shared" si="6"/>
        <v>40154584.72</v>
      </c>
      <c r="I135" s="4">
        <f t="shared" si="7"/>
        <v>0</v>
      </c>
      <c r="J135" s="31">
        <f>RDG!I17</f>
        <v>9947254</v>
      </c>
      <c r="K135" s="31">
        <f>RDG!J17</f>
        <v>10009427</v>
      </c>
    </row>
    <row r="136" spans="4:11" ht="12.75">
      <c r="D136" s="4" t="s">
        <v>541</v>
      </c>
      <c r="E136" s="4">
        <v>2</v>
      </c>
      <c r="F136" s="4">
        <f>RDG!G18</f>
        <v>135</v>
      </c>
      <c r="G136" s="4" t="str">
        <f>IF(RDG!H18=0,"",RDG!H18)</f>
        <v>4.10.2.</v>
      </c>
      <c r="H136" s="30">
        <f t="shared" si="6"/>
        <v>2973717.9</v>
      </c>
      <c r="I136" s="4">
        <f t="shared" si="7"/>
        <v>0</v>
      </c>
      <c r="J136" s="31">
        <f>RDG!I18</f>
        <v>649146</v>
      </c>
      <c r="K136" s="31">
        <f>RDG!J18</f>
        <v>776804</v>
      </c>
    </row>
    <row r="137" spans="4:11" ht="12.75">
      <c r="D137" s="4" t="s">
        <v>541</v>
      </c>
      <c r="E137" s="4">
        <v>2</v>
      </c>
      <c r="F137" s="4">
        <f>RDG!G19</f>
        <v>136</v>
      </c>
      <c r="G137" s="4" t="str">
        <f>IF(RDG!H19=0,"",RDG!H19)</f>
        <v>4.10.2.</v>
      </c>
      <c r="H137" s="30">
        <f t="shared" si="6"/>
        <v>66590615.68</v>
      </c>
      <c r="I137" s="4">
        <f t="shared" si="7"/>
        <v>0</v>
      </c>
      <c r="J137" s="31">
        <f>RDG!I19</f>
        <v>13970802</v>
      </c>
      <c r="K137" s="31">
        <f>RDG!J19</f>
        <v>17496443</v>
      </c>
    </row>
    <row r="138" spans="4:11" ht="12.75">
      <c r="D138" s="4" t="s">
        <v>541</v>
      </c>
      <c r="E138" s="4">
        <v>2</v>
      </c>
      <c r="F138" s="4">
        <f>RDG!G20</f>
        <v>137</v>
      </c>
      <c r="G138" s="4" t="str">
        <f>IF(RDG!H20=0,"",RDG!H20)</f>
        <v>4.10.2.</v>
      </c>
      <c r="H138" s="30">
        <f t="shared" si="6"/>
        <v>105031352.77000001</v>
      </c>
      <c r="I138" s="4">
        <f t="shared" si="7"/>
        <v>0</v>
      </c>
      <c r="J138" s="31">
        <f>RDG!I20</f>
        <v>24973051</v>
      </c>
      <c r="K138" s="31">
        <f>RDG!J20</f>
        <v>25846085</v>
      </c>
    </row>
    <row r="139" spans="4:11" ht="12.75">
      <c r="D139" s="4" t="s">
        <v>541</v>
      </c>
      <c r="E139" s="4">
        <v>2</v>
      </c>
      <c r="F139" s="4">
        <f>RDG!G21</f>
        <v>138</v>
      </c>
      <c r="G139" s="4" t="str">
        <f>IF(RDG!H21=0,"",RDG!H21)</f>
        <v>4.10.2.</v>
      </c>
      <c r="H139" s="30">
        <f t="shared" si="6"/>
        <v>67984509.06</v>
      </c>
      <c r="I139" s="4">
        <f t="shared" si="7"/>
        <v>0</v>
      </c>
      <c r="J139" s="31">
        <f>RDG!I21</f>
        <v>16014489</v>
      </c>
      <c r="K139" s="31">
        <f>RDG!J21</f>
        <v>16624824</v>
      </c>
    </row>
    <row r="140" spans="4:11" ht="12.75">
      <c r="D140" s="4" t="s">
        <v>541</v>
      </c>
      <c r="E140" s="4">
        <v>2</v>
      </c>
      <c r="F140" s="4">
        <f>RDG!G22</f>
        <v>139</v>
      </c>
      <c r="G140" s="4" t="str">
        <f>IF(RDG!H22=0,"",RDG!H22)</f>
        <v>4.10.2.</v>
      </c>
      <c r="H140" s="30">
        <f t="shared" si="6"/>
        <v>22484166.009999998</v>
      </c>
      <c r="I140" s="4">
        <f t="shared" si="7"/>
        <v>0</v>
      </c>
      <c r="J140" s="31">
        <f>RDG!I22</f>
        <v>5304171</v>
      </c>
      <c r="K140" s="31">
        <f>RDG!J22</f>
        <v>5435744</v>
      </c>
    </row>
    <row r="141" spans="4:11" ht="12.75">
      <c r="D141" s="4" t="s">
        <v>541</v>
      </c>
      <c r="E141" s="4">
        <v>2</v>
      </c>
      <c r="F141" s="4">
        <f>RDG!G23</f>
        <v>140</v>
      </c>
      <c r="G141" s="4" t="str">
        <f>IF(RDG!H23=0,"",RDG!H23)</f>
        <v>4.10.2.</v>
      </c>
      <c r="H141" s="30">
        <f t="shared" si="6"/>
        <v>15715595</v>
      </c>
      <c r="I141" s="4">
        <f t="shared" si="7"/>
        <v>0</v>
      </c>
      <c r="J141" s="31">
        <f>RDG!I23</f>
        <v>3654391</v>
      </c>
      <c r="K141" s="31">
        <f>RDG!J23</f>
        <v>3785517</v>
      </c>
    </row>
    <row r="142" spans="4:11" ht="12.75">
      <c r="D142" s="4" t="s">
        <v>541</v>
      </c>
      <c r="E142" s="4">
        <v>2</v>
      </c>
      <c r="F142" s="4">
        <f>RDG!G24</f>
        <v>141</v>
      </c>
      <c r="G142" s="4" t="str">
        <f>IF(RDG!H24=0,"",RDG!H24)</f>
        <v>4.10.2.</v>
      </c>
      <c r="H142" s="30">
        <f t="shared" si="6"/>
        <v>27762571.47</v>
      </c>
      <c r="I142" s="4">
        <f t="shared" si="7"/>
        <v>0</v>
      </c>
      <c r="J142" s="31">
        <f>RDG!I24</f>
        <v>6202195</v>
      </c>
      <c r="K142" s="31">
        <f>RDG!J24</f>
        <v>6743786</v>
      </c>
    </row>
    <row r="143" spans="4:11" ht="12.75">
      <c r="D143" s="4" t="s">
        <v>541</v>
      </c>
      <c r="E143" s="4">
        <v>2</v>
      </c>
      <c r="F143" s="4">
        <f>RDG!G25</f>
        <v>142</v>
      </c>
      <c r="G143" s="4" t="str">
        <f>IF(RDG!H25=0,"",RDG!H25)</f>
        <v>4.10.2.</v>
      </c>
      <c r="H143" s="30">
        <f t="shared" si="6"/>
        <v>21832419.06</v>
      </c>
      <c r="I143" s="4">
        <f t="shared" si="7"/>
        <v>0</v>
      </c>
      <c r="J143" s="31">
        <f>RDG!I25</f>
        <v>4974885</v>
      </c>
      <c r="K143" s="31">
        <f>RDG!J25</f>
        <v>5200029</v>
      </c>
    </row>
    <row r="144" spans="4:11" ht="12.75">
      <c r="D144" s="4" t="s">
        <v>541</v>
      </c>
      <c r="E144" s="4">
        <v>2</v>
      </c>
      <c r="F144" s="4">
        <f>RDG!G26</f>
        <v>143</v>
      </c>
      <c r="G144" s="4" t="str">
        <f>IF(RDG!H26=0,"",RDG!H26)</f>
        <v>4.10.2.</v>
      </c>
      <c r="H144" s="30">
        <f t="shared" si="6"/>
        <v>3732036.88</v>
      </c>
      <c r="I144" s="4">
        <f t="shared" si="7"/>
        <v>0</v>
      </c>
      <c r="J144" s="31">
        <f>RDG!I26</f>
        <v>916406</v>
      </c>
      <c r="K144" s="31">
        <f>RDG!J26</f>
        <v>846705</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t="str">
        <f>IF(RDG!H28=0,"",RDG!H28)</f>
        <v>4.10.2.</v>
      </c>
      <c r="H146" s="30">
        <f t="shared" si="6"/>
        <v>3784233.2</v>
      </c>
      <c r="I146" s="4">
        <f t="shared" si="7"/>
        <v>0</v>
      </c>
      <c r="J146" s="31">
        <f>RDG!I28</f>
        <v>916406</v>
      </c>
      <c r="K146" s="31">
        <f>RDG!J28</f>
        <v>846705</v>
      </c>
    </row>
    <row r="147" spans="4:11" ht="12.75">
      <c r="D147" s="4" t="s">
        <v>541</v>
      </c>
      <c r="E147" s="4">
        <v>2</v>
      </c>
      <c r="F147" s="4">
        <f>RDG!G29</f>
        <v>146</v>
      </c>
      <c r="G147" s="4" t="str">
        <f>IF(RDG!H29=0,"",RDG!H29)</f>
        <v>4.10.2.</v>
      </c>
      <c r="H147" s="30">
        <f t="shared" si="6"/>
        <v>401057.62</v>
      </c>
      <c r="I147" s="4">
        <f t="shared" si="7"/>
        <v>0</v>
      </c>
      <c r="J147" s="31">
        <f>RDG!I29</f>
        <v>274697</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t="str">
        <f>IF(RDG!H32=0,"",RDG!H32)</f>
        <v>4.10.2.</v>
      </c>
      <c r="H150" s="30">
        <f t="shared" si="6"/>
        <v>409298.52999999997</v>
      </c>
      <c r="I150" s="4">
        <f t="shared" si="7"/>
        <v>0</v>
      </c>
      <c r="J150" s="31">
        <f>RDG!I32</f>
        <v>274697</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t="str">
        <f>IF(RDG!H36=0,"",RDG!H36)</f>
        <v>4.10.2.</v>
      </c>
      <c r="H154" s="30">
        <f t="shared" si="6"/>
        <v>868478.49</v>
      </c>
      <c r="I154" s="4">
        <f t="shared" si="7"/>
        <v>0</v>
      </c>
      <c r="J154" s="31">
        <f>RDG!I36</f>
        <v>278203</v>
      </c>
      <c r="K154" s="31">
        <f>RDG!J36</f>
        <v>144715</v>
      </c>
    </row>
    <row r="155" spans="4:11" ht="12.75">
      <c r="D155" s="4" t="s">
        <v>541</v>
      </c>
      <c r="E155" s="4">
        <v>2</v>
      </c>
      <c r="F155" s="4">
        <f>RDG!G37</f>
        <v>154</v>
      </c>
      <c r="G155" s="4" t="str">
        <f>IF(RDG!H37=0,"",RDG!H37)</f>
        <v>4.10.1.</v>
      </c>
      <c r="H155" s="30">
        <f t="shared" si="6"/>
        <v>580601.56</v>
      </c>
      <c r="I155" s="4">
        <f t="shared" si="7"/>
        <v>0</v>
      </c>
      <c r="J155" s="31">
        <f>RDG!I37</f>
        <v>163686</v>
      </c>
      <c r="K155" s="31">
        <f>RDG!J37</f>
        <v>106664</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t="str">
        <f>IF(RDG!H44=0,"",RDG!H44)</f>
        <v>4.10.1.</v>
      </c>
      <c r="H162" s="30">
        <f t="shared" si="6"/>
        <v>598831.45</v>
      </c>
      <c r="I162" s="4">
        <f t="shared" si="7"/>
        <v>0</v>
      </c>
      <c r="J162" s="31">
        <f>RDG!I44</f>
        <v>162987</v>
      </c>
      <c r="K162" s="31">
        <f>RDG!J44</f>
        <v>104479</v>
      </c>
    </row>
    <row r="163" spans="4:11" ht="12.75">
      <c r="D163" s="4" t="s">
        <v>541</v>
      </c>
      <c r="E163" s="4">
        <v>2</v>
      </c>
      <c r="F163" s="4">
        <f>RDG!G45</f>
        <v>162</v>
      </c>
      <c r="G163" s="4" t="str">
        <f>IF(RDG!H45=0,"",RDG!H45)</f>
        <v>4.10.1.</v>
      </c>
      <c r="H163" s="30">
        <f t="shared" si="6"/>
        <v>8211.78</v>
      </c>
      <c r="I163" s="4">
        <f t="shared" si="7"/>
        <v>0</v>
      </c>
      <c r="J163" s="31">
        <f>RDG!I45</f>
        <v>699</v>
      </c>
      <c r="K163" s="31">
        <f>RDG!J45</f>
        <v>2185</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t="str">
        <f>IF(RDG!H48=0,"",RDG!H48)</f>
        <v>4.10.2.</v>
      </c>
      <c r="H166" s="30">
        <f t="shared" si="6"/>
        <v>3526455.9000000004</v>
      </c>
      <c r="I166" s="4">
        <f t="shared" si="7"/>
        <v>0</v>
      </c>
      <c r="J166" s="31">
        <f>RDG!I48</f>
        <v>744676</v>
      </c>
      <c r="K166" s="31">
        <f>RDG!J48</f>
        <v>696285</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t="str">
        <f>IF(RDG!H51=0,"",RDG!H51)</f>
        <v>4.10.2.</v>
      </c>
      <c r="H169" s="30">
        <f t="shared" si="6"/>
        <v>3168364.08</v>
      </c>
      <c r="I169" s="4">
        <f t="shared" si="7"/>
        <v>0</v>
      </c>
      <c r="J169" s="31">
        <f>RDG!I51</f>
        <v>708327</v>
      </c>
      <c r="K169" s="31">
        <f>RDG!J51</f>
        <v>588802</v>
      </c>
    </row>
    <row r="170" spans="4:11" ht="12.75">
      <c r="D170" s="4" t="s">
        <v>541</v>
      </c>
      <c r="E170" s="4">
        <v>2</v>
      </c>
      <c r="F170" s="4">
        <f>RDG!G52</f>
        <v>169</v>
      </c>
      <c r="G170" s="4" t="str">
        <f>IF(RDG!H52=0,"",RDG!H52)</f>
        <v>4.10.2.</v>
      </c>
      <c r="H170" s="30">
        <f t="shared" si="6"/>
        <v>424722.35</v>
      </c>
      <c r="I170" s="4">
        <f t="shared" si="7"/>
        <v>0</v>
      </c>
      <c r="J170" s="31">
        <f>RDG!I52</f>
        <v>36349</v>
      </c>
      <c r="K170" s="31">
        <f>RDG!J52</f>
        <v>107483</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t="str">
        <f>IF(RDG!H60=0,"",RDG!H60)</f>
        <v>4.10.1.</v>
      </c>
      <c r="H178" s="30">
        <f t="shared" si="6"/>
        <v>339218977.8</v>
      </c>
      <c r="I178" s="4">
        <f t="shared" si="7"/>
        <v>0</v>
      </c>
      <c r="J178" s="31">
        <f>RDG!I60</f>
        <v>63011764</v>
      </c>
      <c r="K178" s="31">
        <f>RDG!J60</f>
        <v>64318688</v>
      </c>
    </row>
    <row r="179" spans="4:11" ht="12.75">
      <c r="D179" s="4" t="s">
        <v>541</v>
      </c>
      <c r="E179" s="4">
        <v>2</v>
      </c>
      <c r="F179" s="4">
        <f>RDG!G61</f>
        <v>178</v>
      </c>
      <c r="G179" s="4" t="str">
        <f>IF(RDG!H61=0,"",RDG!H61)</f>
        <v>4.10.2.</v>
      </c>
      <c r="H179" s="30">
        <f t="shared" si="6"/>
        <v>353244333.94</v>
      </c>
      <c r="I179" s="4">
        <f t="shared" si="7"/>
        <v>0</v>
      </c>
      <c r="J179" s="31">
        <f>RDG!I61</f>
        <v>62931315</v>
      </c>
      <c r="K179" s="31">
        <f>RDG!J61</f>
        <v>67760279</v>
      </c>
    </row>
    <row r="180" spans="4:11" ht="12.75">
      <c r="D180" s="4" t="s">
        <v>541</v>
      </c>
      <c r="E180" s="4">
        <v>2</v>
      </c>
      <c r="F180" s="4">
        <f>RDG!G62</f>
        <v>179</v>
      </c>
      <c r="G180" s="4" t="str">
        <f>IF(RDG!H62=0,"",RDG!H62)</f>
        <v>4.11.</v>
      </c>
      <c r="H180" s="30">
        <f t="shared" si="6"/>
        <v>-12176892.07</v>
      </c>
      <c r="I180" s="4">
        <f t="shared" si="7"/>
        <v>0</v>
      </c>
      <c r="J180" s="31">
        <f>RDG!I62</f>
        <v>80449</v>
      </c>
      <c r="K180" s="31">
        <f>RDG!J62</f>
        <v>-3441591</v>
      </c>
    </row>
    <row r="181" spans="4:11" ht="12.75">
      <c r="D181" s="4" t="s">
        <v>541</v>
      </c>
      <c r="E181" s="4">
        <v>2</v>
      </c>
      <c r="F181" s="4">
        <f>RDG!G63</f>
        <v>180</v>
      </c>
      <c r="G181" s="4" t="str">
        <f>IF(RDG!H63=0,"",RDG!H63)</f>
        <v>4.11.</v>
      </c>
      <c r="H181" s="30">
        <f t="shared" si="6"/>
        <v>144808.2</v>
      </c>
      <c r="I181" s="4">
        <f t="shared" si="7"/>
        <v>0</v>
      </c>
      <c r="J181" s="31">
        <f>RDG!I63</f>
        <v>80449</v>
      </c>
      <c r="K181" s="31">
        <f>RDG!J63</f>
        <v>0</v>
      </c>
    </row>
    <row r="182" spans="4:11" ht="12.75">
      <c r="D182" s="4" t="s">
        <v>541</v>
      </c>
      <c r="E182" s="4">
        <v>2</v>
      </c>
      <c r="F182" s="4">
        <f>RDG!G64</f>
        <v>181</v>
      </c>
      <c r="G182" s="4" t="str">
        <f>IF(RDG!H64=0,"",RDG!H64)</f>
        <v>4.11.</v>
      </c>
      <c r="H182" s="30">
        <f t="shared" si="6"/>
        <v>12458559.420000002</v>
      </c>
      <c r="I182" s="4">
        <f t="shared" si="7"/>
        <v>0</v>
      </c>
      <c r="J182" s="31">
        <f>RDG!I64</f>
        <v>0</v>
      </c>
      <c r="K182" s="31">
        <f>RDG!J64</f>
        <v>3441591</v>
      </c>
    </row>
    <row r="183" spans="4:11" ht="12.75">
      <c r="D183" s="4" t="s">
        <v>541</v>
      </c>
      <c r="E183" s="4">
        <v>2</v>
      </c>
      <c r="F183" s="4">
        <f>RDG!G65</f>
        <v>182</v>
      </c>
      <c r="G183" s="4">
        <f>IF(RDG!H65=0,"",RDG!H65)</f>
      </c>
      <c r="H183" s="30">
        <f t="shared" si="6"/>
        <v>0</v>
      </c>
      <c r="I183" s="4">
        <f t="shared" si="7"/>
        <v>0</v>
      </c>
      <c r="J183" s="31">
        <f>RDG!I65</f>
        <v>0</v>
      </c>
      <c r="K183" s="31">
        <f>RDG!J65</f>
        <v>0</v>
      </c>
    </row>
    <row r="184" spans="4:11" ht="12.75">
      <c r="D184" s="4" t="s">
        <v>541</v>
      </c>
      <c r="E184" s="4">
        <v>2</v>
      </c>
      <c r="F184" s="4">
        <f>RDG!G66</f>
        <v>183</v>
      </c>
      <c r="G184" s="4" t="str">
        <f>IF(RDG!H66=0,"",RDG!H66)</f>
        <v>4.11.</v>
      </c>
      <c r="H184" s="30">
        <f t="shared" si="6"/>
        <v>-12449001.39</v>
      </c>
      <c r="I184" s="4">
        <f t="shared" si="7"/>
        <v>0</v>
      </c>
      <c r="J184" s="31">
        <f>RDG!I66</f>
        <v>80449</v>
      </c>
      <c r="K184" s="31">
        <f>RDG!J66</f>
        <v>-3441591</v>
      </c>
    </row>
    <row r="185" spans="4:11" ht="12.75">
      <c r="D185" s="4" t="s">
        <v>541</v>
      </c>
      <c r="E185" s="4">
        <v>2</v>
      </c>
      <c r="F185" s="4">
        <f>RDG!G67</f>
        <v>184</v>
      </c>
      <c r="G185" s="4" t="str">
        <f>IF(RDG!H67=0,"",RDG!H67)</f>
        <v>4.11.</v>
      </c>
      <c r="H185" s="30">
        <f t="shared" si="6"/>
        <v>148026.16</v>
      </c>
      <c r="I185" s="4">
        <f t="shared" si="7"/>
        <v>0</v>
      </c>
      <c r="J185" s="31">
        <f>RDG!I67</f>
        <v>80449</v>
      </c>
      <c r="K185" s="31">
        <f>RDG!J67</f>
        <v>0</v>
      </c>
    </row>
    <row r="186" spans="4:11" ht="12.75">
      <c r="D186" s="4" t="s">
        <v>541</v>
      </c>
      <c r="E186" s="4">
        <v>2</v>
      </c>
      <c r="F186" s="4">
        <f>RDG!G68</f>
        <v>185</v>
      </c>
      <c r="G186" s="4" t="str">
        <f>IF(RDG!H68=0,"",RDG!H68)</f>
        <v>4.11.</v>
      </c>
      <c r="H186" s="30">
        <f t="shared" si="6"/>
        <v>12733886.700000001</v>
      </c>
      <c r="I186" s="4">
        <f t="shared" si="7"/>
        <v>0</v>
      </c>
      <c r="J186" s="31">
        <f>RDG!I68</f>
        <v>0</v>
      </c>
      <c r="K186" s="31">
        <f>RDG!J68</f>
        <v>3441591</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t="str">
        <f>IF(NT_D!H9&lt;&gt;"",NT_D!H9,"")</f>
        <v>5.</v>
      </c>
      <c r="H339" s="30">
        <f>J339/100*F339+2*K339/100*F339</f>
        <v>2978606.3499999996</v>
      </c>
      <c r="I339" s="4">
        <f>ABS(ROUND(J339,0)-J339)+ABS(ROUND(K339,0)-K339)</f>
        <v>0</v>
      </c>
      <c r="J339" s="31">
        <f>NT_D!I9</f>
        <v>98850319</v>
      </c>
      <c r="K339" s="31">
        <f>NT_D!J9</f>
        <v>99505158</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t="str">
        <f>IF(NT_D!H11&lt;&gt;"",NT_D!H11,"")</f>
        <v>5.</v>
      </c>
      <c r="H341" s="30">
        <f aca="true" t="shared" si="20" ref="H341:H380">J341/100*F341+2*K341/100*F341</f>
        <v>4975.92</v>
      </c>
      <c r="I341" s="4">
        <f aca="true" t="shared" si="21" ref="I341:I380">ABS(ROUND(J341,0)-J341)+ABS(ROUND(K341,0)-K341)</f>
        <v>0</v>
      </c>
      <c r="J341" s="31">
        <f>NT_D!I11</f>
        <v>70120</v>
      </c>
      <c r="K341" s="31">
        <f>NT_D!J11</f>
        <v>47872</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t="str">
        <f>IF(NT_D!H13&lt;&gt;"",NT_D!H13,"")</f>
        <v>5.</v>
      </c>
      <c r="H343" s="30">
        <f t="shared" si="20"/>
        <v>-5398475.85</v>
      </c>
      <c r="I343" s="4">
        <f t="shared" si="21"/>
        <v>0</v>
      </c>
      <c r="J343" s="31">
        <f>NT_D!I13</f>
        <v>-33230323</v>
      </c>
      <c r="K343" s="31">
        <f>NT_D!J13</f>
        <v>-37369597</v>
      </c>
    </row>
    <row r="344" spans="4:11" ht="12.75">
      <c r="D344" s="4" t="s">
        <v>1524</v>
      </c>
      <c r="E344" s="4">
        <v>5</v>
      </c>
      <c r="F344" s="32">
        <f>NT_D!G14</f>
        <v>6</v>
      </c>
      <c r="G344" s="32" t="str">
        <f>IF(NT_D!H14&lt;&gt;"",NT_D!H14,"")</f>
        <v>5.</v>
      </c>
      <c r="H344" s="30">
        <f t="shared" si="20"/>
        <v>-5250577.92</v>
      </c>
      <c r="I344" s="4">
        <f t="shared" si="21"/>
        <v>0</v>
      </c>
      <c r="J344" s="31">
        <f>NT_D!I14</f>
        <v>-28197798</v>
      </c>
      <c r="K344" s="31">
        <f>NT_D!J14</f>
        <v>-29655917</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t="str">
        <f>IF(NT_D!H16&lt;&gt;"",NT_D!H16,"")</f>
        <v>5.</v>
      </c>
      <c r="H346" s="30">
        <f t="shared" si="20"/>
        <v>-6768427.52</v>
      </c>
      <c r="I346" s="4">
        <f t="shared" si="21"/>
        <v>0</v>
      </c>
      <c r="J346" s="31">
        <f>NT_D!I16</f>
        <v>-33895030</v>
      </c>
      <c r="K346" s="31">
        <f>NT_D!J16</f>
        <v>-25355157</v>
      </c>
    </row>
    <row r="347" spans="4:11" ht="12.75">
      <c r="D347" s="4" t="s">
        <v>1524</v>
      </c>
      <c r="E347" s="4">
        <v>5</v>
      </c>
      <c r="F347" s="32">
        <f>NT_D!G17</f>
        <v>9</v>
      </c>
      <c r="G347" s="32" t="str">
        <f>IF(NT_D!H17&lt;&gt;"",NT_D!H17,"")</f>
        <v>5.</v>
      </c>
      <c r="H347" s="30">
        <f t="shared" si="20"/>
        <v>1614780.5399999998</v>
      </c>
      <c r="I347" s="4">
        <f t="shared" si="21"/>
        <v>0</v>
      </c>
      <c r="J347" s="31">
        <f>NT_D!I17</f>
        <v>3597288</v>
      </c>
      <c r="K347" s="31">
        <f>NT_D!J17</f>
        <v>7172359</v>
      </c>
    </row>
    <row r="348" spans="4:11" ht="12.75">
      <c r="D348" s="4" t="s">
        <v>1524</v>
      </c>
      <c r="E348" s="4">
        <v>5</v>
      </c>
      <c r="F348" s="32">
        <f>NT_D!G18</f>
        <v>10</v>
      </c>
      <c r="G348" s="32" t="str">
        <f>IF(NT_D!H18&lt;&gt;"",NT_D!H18,"")</f>
        <v>5.</v>
      </c>
      <c r="H348" s="30">
        <f t="shared" si="20"/>
        <v>-156345.90000000002</v>
      </c>
      <c r="I348" s="4">
        <f t="shared" si="21"/>
        <v>0</v>
      </c>
      <c r="J348" s="31">
        <f>NT_D!I18</f>
        <v>-385855</v>
      </c>
      <c r="K348" s="31">
        <f>NT_D!J18</f>
        <v>-588802</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t="str">
        <f>IF(NT_D!H20&lt;&gt;"",NT_D!H20,"")</f>
        <v>5.</v>
      </c>
      <c r="H350" s="30">
        <f t="shared" si="20"/>
        <v>1965425.6400000001</v>
      </c>
      <c r="I350" s="4">
        <f t="shared" si="21"/>
        <v>0</v>
      </c>
      <c r="J350" s="31">
        <f>NT_D!I20</f>
        <v>3211433</v>
      </c>
      <c r="K350" s="31">
        <f>NT_D!J20</f>
        <v>6583557</v>
      </c>
    </row>
    <row r="351" spans="4:11" ht="12.75">
      <c r="D351" s="4" t="s">
        <v>1524</v>
      </c>
      <c r="E351" s="4">
        <v>5</v>
      </c>
      <c r="F351" s="32">
        <f>NT_D!G22</f>
        <v>13</v>
      </c>
      <c r="G351" s="32" t="str">
        <f>IF(NT_D!H22&lt;&gt;"",NT_D!H22,"")</f>
        <v>5.</v>
      </c>
      <c r="H351" s="30">
        <f t="shared" si="20"/>
        <v>4030.7799999999997</v>
      </c>
      <c r="I351" s="4">
        <f t="shared" si="21"/>
        <v>0</v>
      </c>
      <c r="J351" s="31">
        <f>NT_D!I22</f>
        <v>4712</v>
      </c>
      <c r="K351" s="31">
        <f>NT_D!J22</f>
        <v>13147</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t="str">
        <f>IF(NT_D!H24&lt;&gt;"",NT_D!H24,"")</f>
        <v>5.</v>
      </c>
      <c r="H353" s="30">
        <f t="shared" si="20"/>
        <v>2323.7999999999997</v>
      </c>
      <c r="I353" s="4">
        <f t="shared" si="21"/>
        <v>0</v>
      </c>
      <c r="J353" s="31">
        <f>NT_D!I24</f>
        <v>0</v>
      </c>
      <c r="K353" s="31">
        <f>NT_D!J24</f>
        <v>7746</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t="str">
        <f>IF(NT_D!H26&lt;&gt;"",NT_D!H26,"")</f>
        <v>5.</v>
      </c>
      <c r="H355" s="30">
        <f t="shared" si="20"/>
        <v>20089.58</v>
      </c>
      <c r="I355" s="4">
        <f t="shared" si="21"/>
        <v>0</v>
      </c>
      <c r="J355" s="31">
        <f>NT_D!I26</f>
        <v>48764</v>
      </c>
      <c r="K355" s="31">
        <f>NT_D!J26</f>
        <v>34705</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t="str">
        <f>IF(NT_D!H28&lt;&gt;"",NT_D!H28,"")</f>
        <v>5.</v>
      </c>
      <c r="H357" s="30">
        <f t="shared" si="20"/>
        <v>31287.68</v>
      </c>
      <c r="I357" s="4">
        <f t="shared" si="21"/>
        <v>0</v>
      </c>
      <c r="J357" s="31">
        <f>NT_D!I28</f>
        <v>53476</v>
      </c>
      <c r="K357" s="31">
        <f>NT_D!J28</f>
        <v>55598</v>
      </c>
    </row>
    <row r="358" spans="4:11" ht="12.75">
      <c r="D358" s="4" t="s">
        <v>1524</v>
      </c>
      <c r="E358" s="4">
        <v>5</v>
      </c>
      <c r="F358" s="32">
        <f>NT_D!G29</f>
        <v>20</v>
      </c>
      <c r="G358" s="32" t="str">
        <f>IF(NT_D!H29&lt;&gt;"",NT_D!H29,"")</f>
        <v>5.</v>
      </c>
      <c r="H358" s="30">
        <f t="shared" si="20"/>
        <v>-367862.39999999997</v>
      </c>
      <c r="I358" s="4">
        <f t="shared" si="21"/>
        <v>0</v>
      </c>
      <c r="J358" s="31">
        <f>NT_D!I29</f>
        <v>-159728</v>
      </c>
      <c r="K358" s="31">
        <f>NT_D!J29</f>
        <v>-839792</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t="str">
        <f>IF(NT_D!H31&lt;&gt;"",NT_D!H31,"")</f>
        <v>5.</v>
      </c>
      <c r="H360" s="30">
        <f t="shared" si="20"/>
        <v>-7348</v>
      </c>
      <c r="I360" s="4">
        <f t="shared" si="21"/>
        <v>0</v>
      </c>
      <c r="J360" s="31">
        <f>NT_D!I31</f>
        <v>0</v>
      </c>
      <c r="K360" s="31">
        <f>NT_D!J31</f>
        <v>-16700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t="str">
        <f>IF(NT_D!H33&lt;&gt;"",NT_D!H33,"")</f>
        <v>5.</v>
      </c>
      <c r="H362" s="30">
        <f t="shared" si="20"/>
        <v>-96700.79999999999</v>
      </c>
      <c r="I362" s="4">
        <f t="shared" si="21"/>
        <v>0</v>
      </c>
      <c r="J362" s="31">
        <f>NT_D!I33</f>
        <v>0</v>
      </c>
      <c r="K362" s="31">
        <f>NT_D!J33</f>
        <v>-201460</v>
      </c>
    </row>
    <row r="363" spans="4:11" ht="12.75">
      <c r="D363" s="4" t="s">
        <v>1524</v>
      </c>
      <c r="E363" s="4">
        <v>5</v>
      </c>
      <c r="F363" s="32">
        <f>NT_D!G34</f>
        <v>25</v>
      </c>
      <c r="G363" s="32" t="str">
        <f>IF(NT_D!H34&lt;&gt;"",NT_D!H34,"")</f>
        <v>5.</v>
      </c>
      <c r="H363" s="30">
        <f t="shared" si="20"/>
        <v>-568908</v>
      </c>
      <c r="I363" s="4">
        <f t="shared" si="21"/>
        <v>0</v>
      </c>
      <c r="J363" s="31">
        <f>NT_D!I34</f>
        <v>-159728</v>
      </c>
      <c r="K363" s="31">
        <f>NT_D!J34</f>
        <v>-1057952</v>
      </c>
    </row>
    <row r="364" spans="4:11" ht="12.75">
      <c r="D364" s="4" t="s">
        <v>1524</v>
      </c>
      <c r="E364" s="4">
        <v>5</v>
      </c>
      <c r="F364" s="32">
        <f>NT_D!G35</f>
        <v>26</v>
      </c>
      <c r="G364" s="32" t="str">
        <f>IF(NT_D!H35&lt;&gt;"",NT_D!H35,"")</f>
        <v>5.</v>
      </c>
      <c r="H364" s="30">
        <f t="shared" si="20"/>
        <v>-548849.6000000001</v>
      </c>
      <c r="I364" s="4">
        <f t="shared" si="21"/>
        <v>0</v>
      </c>
      <c r="J364" s="31">
        <f>NT_D!I35</f>
        <v>-106252</v>
      </c>
      <c r="K364" s="31">
        <f>NT_D!J35</f>
        <v>-1002354</v>
      </c>
    </row>
    <row r="365" spans="4:11" ht="12.75">
      <c r="D365" s="4" t="s">
        <v>1524</v>
      </c>
      <c r="E365" s="4">
        <v>5</v>
      </c>
      <c r="F365" s="32">
        <f>NT_D!G37</f>
        <v>27</v>
      </c>
      <c r="G365" s="32" t="str">
        <f>IF(NT_D!H37&lt;&gt;"",NT_D!H37,"")</f>
        <v>5.</v>
      </c>
      <c r="H365" s="30">
        <f t="shared" si="20"/>
        <v>810000</v>
      </c>
      <c r="I365" s="4">
        <f t="shared" si="21"/>
        <v>0</v>
      </c>
      <c r="J365" s="31">
        <f>NT_D!I37</f>
        <v>3000000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t="str">
        <f>IF(NT_D!H39&lt;&gt;"",NT_D!H39,"")</f>
        <v>5.</v>
      </c>
      <c r="H367" s="30">
        <f t="shared" si="20"/>
        <v>73682.91</v>
      </c>
      <c r="I367" s="4">
        <f t="shared" si="21"/>
        <v>0</v>
      </c>
      <c r="J367" s="31">
        <f>NT_D!I39</f>
        <v>254079</v>
      </c>
      <c r="K367" s="31">
        <f>NT_D!J39</f>
        <v>0</v>
      </c>
    </row>
    <row r="368" spans="4:11" ht="12.75">
      <c r="D368" s="4" t="s">
        <v>1524</v>
      </c>
      <c r="E368" s="4">
        <v>5</v>
      </c>
      <c r="F368" s="32">
        <f>NT_D!G40</f>
        <v>30</v>
      </c>
      <c r="G368" s="32" t="str">
        <f>IF(NT_D!H40&lt;&gt;"",NT_D!H40,"")</f>
        <v>5.</v>
      </c>
      <c r="H368" s="30">
        <f t="shared" si="20"/>
        <v>28102.199999999997</v>
      </c>
      <c r="I368" s="4">
        <f t="shared" si="21"/>
        <v>0</v>
      </c>
      <c r="J368" s="31">
        <f>NT_D!I40</f>
        <v>38856</v>
      </c>
      <c r="K368" s="31">
        <f>NT_D!J40</f>
        <v>27409</v>
      </c>
    </row>
    <row r="369" spans="4:11" ht="12.75">
      <c r="D369" s="4" t="s">
        <v>1524</v>
      </c>
      <c r="E369" s="4">
        <v>5</v>
      </c>
      <c r="F369" s="32">
        <f>NT_D!G41</f>
        <v>31</v>
      </c>
      <c r="G369" s="32" t="str">
        <f>IF(NT_D!H41&lt;&gt;"",NT_D!H41,"")</f>
        <v>5.</v>
      </c>
      <c r="H369" s="30">
        <f t="shared" si="20"/>
        <v>1037803.4299999999</v>
      </c>
      <c r="I369" s="4">
        <f t="shared" si="21"/>
        <v>0</v>
      </c>
      <c r="J369" s="31">
        <f>NT_D!I41</f>
        <v>3292935</v>
      </c>
      <c r="K369" s="31">
        <f>NT_D!J41</f>
        <v>27409</v>
      </c>
    </row>
    <row r="370" spans="4:11" ht="12.75">
      <c r="D370" s="4" t="s">
        <v>1524</v>
      </c>
      <c r="E370" s="4">
        <v>5</v>
      </c>
      <c r="F370" s="32">
        <f>NT_D!G42</f>
        <v>32</v>
      </c>
      <c r="G370" s="32" t="str">
        <f>IF(NT_D!H42&lt;&gt;"",NT_D!H42,"")</f>
        <v>5.</v>
      </c>
      <c r="H370" s="30">
        <f t="shared" si="20"/>
        <v>-5584584.96</v>
      </c>
      <c r="I370" s="4">
        <f t="shared" si="21"/>
        <v>0</v>
      </c>
      <c r="J370" s="31">
        <f>NT_D!I42</f>
        <v>-5885090</v>
      </c>
      <c r="K370" s="31">
        <f>NT_D!J42</f>
        <v>-5783369</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t="str">
        <f>IF(NT_D!H46&lt;&gt;"",NT_D!H46,"")</f>
        <v>5.</v>
      </c>
      <c r="H374" s="30">
        <f t="shared" si="20"/>
        <v>-185484.24000000002</v>
      </c>
      <c r="I374" s="4">
        <f t="shared" si="21"/>
        <v>0</v>
      </c>
      <c r="J374" s="31">
        <f>NT_D!I46</f>
        <v>-11362</v>
      </c>
      <c r="K374" s="31">
        <f>NT_D!J46</f>
        <v>-251936</v>
      </c>
    </row>
    <row r="375" spans="4:11" ht="12.75">
      <c r="D375" s="4" t="s">
        <v>1524</v>
      </c>
      <c r="E375" s="4">
        <v>5</v>
      </c>
      <c r="F375" s="32">
        <f>NT_D!G47</f>
        <v>37</v>
      </c>
      <c r="G375" s="32" t="str">
        <f>IF(NT_D!H47&lt;&gt;"",NT_D!H47,"")</f>
        <v>5.</v>
      </c>
      <c r="H375" s="30">
        <f t="shared" si="20"/>
        <v>-6647812.9399999995</v>
      </c>
      <c r="I375" s="4">
        <f t="shared" si="21"/>
        <v>0</v>
      </c>
      <c r="J375" s="31">
        <f>NT_D!I47</f>
        <v>-5896452</v>
      </c>
      <c r="K375" s="31">
        <f>NT_D!J47</f>
        <v>-6035305</v>
      </c>
    </row>
    <row r="376" spans="4:11" ht="12.75">
      <c r="D376" s="4" t="s">
        <v>1524</v>
      </c>
      <c r="E376" s="4">
        <v>5</v>
      </c>
      <c r="F376" s="32">
        <f>NT_D!G48</f>
        <v>38</v>
      </c>
      <c r="G376" s="32" t="str">
        <f>IF(NT_D!H48&lt;&gt;"",NT_D!H48,"")</f>
        <v>5.</v>
      </c>
      <c r="H376" s="30">
        <f t="shared" si="20"/>
        <v>-5555337.42</v>
      </c>
      <c r="I376" s="4">
        <f t="shared" si="21"/>
        <v>0</v>
      </c>
      <c r="J376" s="31">
        <f>NT_D!I48</f>
        <v>-2603517</v>
      </c>
      <c r="K376" s="31">
        <f>NT_D!J48</f>
        <v>-6007896</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t="str">
        <f>IF(NT_D!H50&lt;&gt;"",NT_D!H50,"")</f>
        <v>5.</v>
      </c>
      <c r="H378" s="30">
        <f t="shared" si="20"/>
        <v>-140688.80000000002</v>
      </c>
      <c r="I378" s="4">
        <f t="shared" si="21"/>
        <v>0</v>
      </c>
      <c r="J378" s="31">
        <f>NT_D!I50</f>
        <v>501664</v>
      </c>
      <c r="K378" s="31">
        <f>NT_D!J50</f>
        <v>-426693</v>
      </c>
    </row>
    <row r="379" spans="4:11" ht="12.75">
      <c r="D379" s="4" t="s">
        <v>1524</v>
      </c>
      <c r="E379" s="4">
        <v>5</v>
      </c>
      <c r="F379" s="32">
        <f>NT_D!G51</f>
        <v>41</v>
      </c>
      <c r="G379" s="32" t="str">
        <f>IF(NT_D!H51&lt;&gt;"",NT_D!H51,"")</f>
        <v>5.</v>
      </c>
      <c r="H379" s="30">
        <f t="shared" si="20"/>
        <v>3197006.98</v>
      </c>
      <c r="I379" s="4">
        <f t="shared" si="21"/>
        <v>0</v>
      </c>
      <c r="J379" s="31">
        <f>NT_D!I51</f>
        <v>2264750</v>
      </c>
      <c r="K379" s="31">
        <f>NT_D!J51</f>
        <v>2766414</v>
      </c>
    </row>
    <row r="380" spans="4:11" ht="12.75">
      <c r="D380" s="4" t="s">
        <v>1524</v>
      </c>
      <c r="E380" s="4">
        <v>5</v>
      </c>
      <c r="F380" s="32">
        <f>NT_D!G52</f>
        <v>42</v>
      </c>
      <c r="G380" s="32" t="str">
        <f>IF(NT_D!H52&lt;&gt;"",NT_D!H52,"")</f>
        <v>5.</v>
      </c>
      <c r="H380" s="30">
        <f t="shared" si="20"/>
        <v>3127259.5199999996</v>
      </c>
      <c r="I380" s="4">
        <f t="shared" si="21"/>
        <v>0</v>
      </c>
      <c r="J380" s="31">
        <f>NT_D!I52</f>
        <v>2766414</v>
      </c>
      <c r="K380" s="31">
        <f>NT_D!J52</f>
        <v>2339721</v>
      </c>
    </row>
    <row r="381" spans="4:25" ht="12.75">
      <c r="D381" s="4" t="s">
        <v>542</v>
      </c>
      <c r="E381" s="4">
        <v>6</v>
      </c>
      <c r="F381" s="4">
        <f>PK!G10</f>
        <v>1</v>
      </c>
      <c r="G381" s="4" t="str">
        <f>IF(PK!H10&lt;&gt;"",PK!H10,"")</f>
        <v>4.4.</v>
      </c>
      <c r="H381" s="30">
        <f>J381/100*F381+2*K381/100*F381+3*L381/100+4*M381/100+5*N381/100+6*O381/100+7*P381/100+8*Q381/100+9*R381/100+10*S381/100+11*T381/100+12*U381/100+13*V381/100+14*W381/100+15*X381/100+16*Y381/100</f>
        <v>15307545.21</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57421400</v>
      </c>
      <c r="K381" s="31">
        <f>PK!J10</f>
        <v>0</v>
      </c>
      <c r="L381" s="31">
        <f>PK!K10</f>
        <v>0</v>
      </c>
      <c r="M381" s="31">
        <f>PK!L10</f>
        <v>0</v>
      </c>
      <c r="N381" s="31">
        <f>PK!M10</f>
        <v>0</v>
      </c>
      <c r="O381" s="31">
        <f>PK!N10</f>
        <v>0</v>
      </c>
      <c r="P381" s="31">
        <f>PK!O10</f>
        <v>721591</v>
      </c>
      <c r="Q381" s="31">
        <f>PK!P10</f>
        <v>0</v>
      </c>
      <c r="R381" s="31">
        <f>PK!Q10</f>
        <v>0</v>
      </c>
      <c r="S381" s="31">
        <f>PK!R10</f>
        <v>0</v>
      </c>
      <c r="T381" s="31">
        <f>PK!S10</f>
        <v>0</v>
      </c>
      <c r="U381" s="31">
        <f>PK!T10</f>
        <v>-6571613</v>
      </c>
      <c r="V381" s="31">
        <f>PK!U10</f>
        <v>0</v>
      </c>
      <c r="W381" s="31">
        <f>PK!V10</f>
        <v>51571378</v>
      </c>
      <c r="X381" s="31">
        <f>PK!W10</f>
        <v>0</v>
      </c>
      <c r="Y381" s="31">
        <f>PK!X10</f>
        <v>51571378</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t="str">
        <f>IF(PK!H13&lt;&gt;"",PK!H13,"")</f>
        <v>4.4.</v>
      </c>
      <c r="H384" s="30">
        <f aca="true" t="shared" si="22" ref="H384:H432">J384/100*F384+2*K384/100*F384+3*L384/100+4*M384/100+5*N384/100+6*O384/100+7*P384/100+8*Q384/100+9*R384/100+10*S384/100+11*T384/100+12*U384/100+13*V384/100+14*W384/100+15*X384/100+16*Y384/100</f>
        <v>17030187.21</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57421400</v>
      </c>
      <c r="K384" s="31">
        <f>PK!J13</f>
        <v>0</v>
      </c>
      <c r="L384" s="31">
        <f>PK!K13</f>
        <v>0</v>
      </c>
      <c r="M384" s="31">
        <f>PK!L13</f>
        <v>0</v>
      </c>
      <c r="N384" s="31">
        <f>PK!M13</f>
        <v>0</v>
      </c>
      <c r="O384" s="31">
        <f>PK!N13</f>
        <v>0</v>
      </c>
      <c r="P384" s="31">
        <f>PK!O13</f>
        <v>721591</v>
      </c>
      <c r="Q384" s="31">
        <f>PK!P13</f>
        <v>0</v>
      </c>
      <c r="R384" s="31">
        <f>PK!Q13</f>
        <v>0</v>
      </c>
      <c r="S384" s="31">
        <f>PK!R13</f>
        <v>0</v>
      </c>
      <c r="T384" s="31">
        <f>PK!S13</f>
        <v>0</v>
      </c>
      <c r="U384" s="31">
        <f>PK!T13</f>
        <v>-6571613</v>
      </c>
      <c r="V384" s="31">
        <f>PK!U13</f>
        <v>0</v>
      </c>
      <c r="W384" s="31">
        <f>PK!V13</f>
        <v>51571378</v>
      </c>
      <c r="X384" s="31">
        <f>PK!W13</f>
        <v>0</v>
      </c>
      <c r="Y384" s="31">
        <f>PK!X13</f>
        <v>51571378</v>
      </c>
    </row>
    <row r="385" spans="4:25" ht="12.75">
      <c r="D385" s="4" t="s">
        <v>542</v>
      </c>
      <c r="E385" s="4">
        <v>6</v>
      </c>
      <c r="F385" s="4">
        <f>PK!G14</f>
        <v>5</v>
      </c>
      <c r="G385" s="4">
        <f>IF(PK!H14&lt;&gt;"",PK!H14,"")</f>
      </c>
      <c r="H385" s="30">
        <f t="shared" si="22"/>
        <v>34593.07000000001</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80449</v>
      </c>
      <c r="W385" s="31">
        <f>PK!V14</f>
        <v>80449</v>
      </c>
      <c r="X385" s="31">
        <f>PK!W14</f>
        <v>0</v>
      </c>
      <c r="Y385" s="31">
        <f>PK!X14</f>
        <v>80449</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t="str">
        <f>IF(PK!H24&lt;&gt;"",PK!H24,"")</f>
        <v>4.4.</v>
      </c>
      <c r="H395" s="30">
        <f t="shared" si="22"/>
        <v>1350000</v>
      </c>
      <c r="I395" s="31">
        <f t="shared" si="23"/>
        <v>0</v>
      </c>
      <c r="J395" s="31">
        <f>PK!I24</f>
        <v>3000000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3000000</v>
      </c>
      <c r="X395" s="31">
        <f>PK!W24</f>
        <v>0</v>
      </c>
      <c r="Y395" s="31">
        <f>PK!X24</f>
        <v>3000000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t="str">
        <f>IF(PK!H32&lt;&gt;"",PK!H32,"")</f>
        <v>4.4.</v>
      </c>
      <c r="H403" s="30">
        <f t="shared" si="22"/>
        <v>29564846.279999997</v>
      </c>
      <c r="I403" s="31">
        <f t="shared" si="23"/>
        <v>0</v>
      </c>
      <c r="J403" s="31">
        <f>PK!I32</f>
        <v>60421400</v>
      </c>
      <c r="K403" s="31">
        <f>PK!J32</f>
        <v>0</v>
      </c>
      <c r="L403" s="31">
        <f>PK!K32</f>
        <v>0</v>
      </c>
      <c r="M403" s="31">
        <f>PK!L32</f>
        <v>0</v>
      </c>
      <c r="N403" s="31">
        <f>PK!M32</f>
        <v>0</v>
      </c>
      <c r="O403" s="31">
        <f>PK!N32</f>
        <v>0</v>
      </c>
      <c r="P403" s="31">
        <f>PK!O32</f>
        <v>721591</v>
      </c>
      <c r="Q403" s="31">
        <f>PK!P32</f>
        <v>0</v>
      </c>
      <c r="R403" s="31">
        <f>PK!Q32</f>
        <v>0</v>
      </c>
      <c r="S403" s="31">
        <f>PK!R32</f>
        <v>0</v>
      </c>
      <c r="T403" s="31">
        <f>PK!S32</f>
        <v>0</v>
      </c>
      <c r="U403" s="31">
        <f>PK!T32</f>
        <v>-6571613</v>
      </c>
      <c r="V403" s="31">
        <f>PK!U32</f>
        <v>80449</v>
      </c>
      <c r="W403" s="31">
        <f>PK!V32</f>
        <v>54651827</v>
      </c>
      <c r="X403" s="31">
        <f>PK!W32</f>
        <v>0</v>
      </c>
      <c r="Y403" s="31">
        <f>PK!X32</f>
        <v>54651827</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t="str">
        <f>IF(PK!H36&lt;&gt;"",PK!H36,"")</f>
        <v>4.4.</v>
      </c>
      <c r="H406" s="30">
        <f t="shared" si="22"/>
        <v>780000</v>
      </c>
      <c r="I406" s="31">
        <f t="shared" si="23"/>
        <v>0</v>
      </c>
      <c r="J406" s="31">
        <f>PK!I36</f>
        <v>3000000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t="str">
        <f>IF(PK!H38&lt;&gt;"",PK!H38,"")</f>
        <v>4.4.</v>
      </c>
      <c r="H407" s="30">
        <f t="shared" si="22"/>
        <v>31980897.79</v>
      </c>
      <c r="I407" s="31">
        <f t="shared" si="23"/>
        <v>0</v>
      </c>
      <c r="J407" s="31">
        <f>PK!I38</f>
        <v>60421400</v>
      </c>
      <c r="K407" s="31">
        <f>PK!J38</f>
        <v>0</v>
      </c>
      <c r="L407" s="31">
        <f>PK!K38</f>
        <v>0</v>
      </c>
      <c r="M407" s="31">
        <f>PK!L38</f>
        <v>0</v>
      </c>
      <c r="N407" s="31">
        <f>PK!M38</f>
        <v>0</v>
      </c>
      <c r="O407" s="31">
        <f>PK!N38</f>
        <v>0</v>
      </c>
      <c r="P407" s="31">
        <f>PK!O38</f>
        <v>721591</v>
      </c>
      <c r="Q407" s="31">
        <f>PK!P38</f>
        <v>0</v>
      </c>
      <c r="R407" s="31">
        <f>PK!Q38</f>
        <v>0</v>
      </c>
      <c r="S407" s="31">
        <f>PK!R38</f>
        <v>0</v>
      </c>
      <c r="T407" s="31">
        <f>PK!S38</f>
        <v>0</v>
      </c>
      <c r="U407" s="31">
        <f>PK!T38</f>
        <v>-6491164</v>
      </c>
      <c r="V407" s="31">
        <f>PK!U38</f>
        <v>0</v>
      </c>
      <c r="W407" s="31">
        <f>PK!V38</f>
        <v>54651827</v>
      </c>
      <c r="X407" s="31">
        <f>PK!W38</f>
        <v>0</v>
      </c>
      <c r="Y407" s="31">
        <f>PK!X38</f>
        <v>54651827</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t="str">
        <f>IF(PK!H41&lt;&gt;"",PK!H41,"")</f>
        <v>4.4.</v>
      </c>
      <c r="H410" s="30">
        <f t="shared" si="22"/>
        <v>33793539.79000001</v>
      </c>
      <c r="I410" s="31">
        <f t="shared" si="23"/>
        <v>0</v>
      </c>
      <c r="J410" s="31">
        <f>PK!I41</f>
        <v>60421400</v>
      </c>
      <c r="K410" s="31">
        <f>PK!J41</f>
        <v>0</v>
      </c>
      <c r="L410" s="31">
        <f>PK!K41</f>
        <v>0</v>
      </c>
      <c r="M410" s="31">
        <f>PK!L41</f>
        <v>0</v>
      </c>
      <c r="N410" s="31">
        <f>PK!M41</f>
        <v>0</v>
      </c>
      <c r="O410" s="31">
        <f>PK!N41</f>
        <v>0</v>
      </c>
      <c r="P410" s="31">
        <f>PK!O41</f>
        <v>721591</v>
      </c>
      <c r="Q410" s="31">
        <f>PK!P41</f>
        <v>0</v>
      </c>
      <c r="R410" s="31">
        <f>PK!Q41</f>
        <v>0</v>
      </c>
      <c r="S410" s="31">
        <f>PK!R41</f>
        <v>0</v>
      </c>
      <c r="T410" s="31">
        <f>PK!S41</f>
        <v>0</v>
      </c>
      <c r="U410" s="31">
        <f>PK!T41</f>
        <v>-6491164</v>
      </c>
      <c r="V410" s="31">
        <f>PK!U41</f>
        <v>0</v>
      </c>
      <c r="W410" s="31">
        <f>PK!V41</f>
        <v>54651827</v>
      </c>
      <c r="X410" s="31">
        <f>PK!W41</f>
        <v>0</v>
      </c>
      <c r="Y410" s="31">
        <f>PK!X41</f>
        <v>54651827</v>
      </c>
    </row>
    <row r="411" spans="4:25" ht="12.75">
      <c r="D411" s="4" t="s">
        <v>542</v>
      </c>
      <c r="E411" s="4">
        <v>6</v>
      </c>
      <c r="F411" s="4">
        <f>PK!G42</f>
        <v>31</v>
      </c>
      <c r="G411" s="4" t="str">
        <f>IF(PK!H42&lt;&gt;"",PK!H42,"")</f>
        <v>4.4.</v>
      </c>
      <c r="H411" s="30">
        <f t="shared" si="22"/>
        <v>-1479884.1300000001</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-3441591</v>
      </c>
      <c r="W411" s="31">
        <f>PK!V42</f>
        <v>-3441591</v>
      </c>
      <c r="X411" s="31">
        <f>PK!W42</f>
        <v>0</v>
      </c>
      <c r="Y411" s="31">
        <f>PK!X42</f>
        <v>-3441591</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t="str">
        <f>IF(PK!H60&lt;&gt;"",PK!H60,"")</f>
        <v>4.4.</v>
      </c>
      <c r="H429" s="30">
        <f t="shared" si="22"/>
        <v>43793721.660000004</v>
      </c>
      <c r="I429" s="31">
        <f t="shared" si="23"/>
        <v>0</v>
      </c>
      <c r="J429" s="31">
        <f>PK!I60</f>
        <v>60421400</v>
      </c>
      <c r="K429" s="31">
        <f>PK!J60</f>
        <v>0</v>
      </c>
      <c r="L429" s="31">
        <f>PK!K60</f>
        <v>0</v>
      </c>
      <c r="M429" s="31">
        <f>PK!L60</f>
        <v>0</v>
      </c>
      <c r="N429" s="31">
        <f>PK!M60</f>
        <v>0</v>
      </c>
      <c r="O429" s="31">
        <f>PK!N60</f>
        <v>0</v>
      </c>
      <c r="P429" s="31">
        <f>PK!O60</f>
        <v>721591</v>
      </c>
      <c r="Q429" s="31">
        <f>PK!P60</f>
        <v>0</v>
      </c>
      <c r="R429" s="31">
        <f>PK!Q60</f>
        <v>0</v>
      </c>
      <c r="S429" s="31">
        <f>PK!R60</f>
        <v>0</v>
      </c>
      <c r="T429" s="31">
        <f>PK!S60</f>
        <v>0</v>
      </c>
      <c r="U429" s="31">
        <f>PK!T60</f>
        <v>-6491164</v>
      </c>
      <c r="V429" s="31">
        <f>PK!U60</f>
        <v>-3441591</v>
      </c>
      <c r="W429" s="31">
        <f>PK!V60</f>
        <v>51210236</v>
      </c>
      <c r="X429" s="31">
        <f>PK!W60</f>
        <v>0</v>
      </c>
      <c r="Y429" s="31">
        <f>PK!X60</f>
        <v>51210236</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C16" sqref="C16:J16"/>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2354</v>
      </c>
      <c r="W2" s="231" t="str">
        <f>RefStr!C29</f>
        <v>KOMUNALAC d.o.o.</v>
      </c>
      <c r="X2" s="209" t="s">
        <v>207</v>
      </c>
      <c r="Y2" s="231">
        <f>IF(RefStr!C54&lt;&gt;"",RefStr!C54,"")</f>
        <v>100</v>
      </c>
      <c r="Z2" s="209" t="s">
        <v>2326</v>
      </c>
      <c r="AA2" s="231">
        <f>IF(RefStr!B64="","",RefStr!B64)</f>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3</v>
      </c>
      <c r="T3" s="211" t="s">
        <v>777</v>
      </c>
      <c r="U3" s="232" t="str">
        <f>RefStr!L21</f>
        <v>10858279999</v>
      </c>
      <c r="V3" s="211" t="s">
        <v>2355</v>
      </c>
      <c r="W3" s="232">
        <f>RefStr!C31</f>
        <v>10430</v>
      </c>
      <c r="X3" s="211" t="s">
        <v>208</v>
      </c>
      <c r="Y3" s="232">
        <f>IF(RefStr!F54&lt;&gt;"",RefStr!F54,"")</f>
        <v>0</v>
      </c>
      <c r="Z3" s="211" t="s">
        <v>2327</v>
      </c>
      <c r="AA3" s="232">
        <f>IF(RefStr!B66="","",RefStr!B66)</f>
      </c>
    </row>
    <row r="4" spans="1:27" ht="13.5" customHeight="1">
      <c r="A4" s="499"/>
      <c r="B4" s="500"/>
      <c r="C4" s="500"/>
      <c r="D4" s="500"/>
      <c r="E4" s="500"/>
      <c r="F4" s="500"/>
      <c r="G4" s="500"/>
      <c r="H4" s="500"/>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2718</v>
      </c>
      <c r="U4" s="232" t="str">
        <f>RefStr!C27</f>
        <v>17055681355</v>
      </c>
      <c r="V4" s="211" t="s">
        <v>2356</v>
      </c>
      <c r="W4" s="232" t="str">
        <f>RefStr!F31</f>
        <v>SAMOBOR</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2</v>
      </c>
      <c r="T5" s="211" t="s">
        <v>2352</v>
      </c>
      <c r="U5" s="232" t="str">
        <f>RefStr!H27</f>
        <v>01316419</v>
      </c>
      <c r="V5" s="211" t="s">
        <v>2357</v>
      </c>
      <c r="W5" s="232" t="str">
        <f>RefStr!C33</f>
        <v>Ul. 151. samoborske brigade HV 2</v>
      </c>
      <c r="X5" s="234" t="s">
        <v>2517</v>
      </c>
      <c r="Y5" s="235" t="str">
        <f>RefStr!I62</f>
        <v>DA</v>
      </c>
      <c r="Z5" s="211" t="s">
        <v>691</v>
      </c>
      <c r="AA5" s="232">
        <f>RefStr!M46</f>
        <v>0</v>
      </c>
    </row>
    <row r="6" spans="1:27" ht="13.5" customHeight="1">
      <c r="A6" s="499"/>
      <c r="B6" s="500"/>
      <c r="C6" s="500"/>
      <c r="D6" s="500"/>
      <c r="E6" s="500"/>
      <c r="F6" s="500"/>
      <c r="G6" s="500"/>
      <c r="H6" s="500"/>
      <c r="I6" s="507"/>
      <c r="J6" s="508"/>
      <c r="L6" s="3"/>
      <c r="M6" s="3"/>
      <c r="N6" s="208" t="s">
        <v>1524</v>
      </c>
      <c r="O6" s="211">
        <f>NT_D!Q1</f>
        <v>1</v>
      </c>
      <c r="P6" s="212">
        <f>NT_D!Q2</f>
        <v>1</v>
      </c>
      <c r="Q6" s="232">
        <f>NT_D!Q3</f>
        <v>1</v>
      </c>
      <c r="R6" s="211" t="s">
        <v>1195</v>
      </c>
      <c r="S6" s="232" t="str">
        <f>RefStr!C21</f>
        <v>NE</v>
      </c>
      <c r="T6" s="211" t="s">
        <v>2353</v>
      </c>
      <c r="U6" s="232" t="str">
        <f>RefStr!M27</f>
        <v>080173330</v>
      </c>
      <c r="V6" s="211" t="s">
        <v>2568</v>
      </c>
      <c r="W6" s="232" t="str">
        <f>RefStr!L35</f>
        <v>01/5554-300</v>
      </c>
      <c r="X6" s="211" t="s">
        <v>2514</v>
      </c>
      <c r="Y6" s="232" t="str">
        <f>RefStr!C68</f>
        <v>Ljerka Duvnjak</v>
      </c>
      <c r="Z6" s="211" t="s">
        <v>1415</v>
      </c>
      <c r="AA6" s="232">
        <f>RefStr!C46</f>
        <v>0</v>
      </c>
    </row>
    <row r="7" spans="1:27" ht="13.5" customHeight="1">
      <c r="A7" s="499"/>
      <c r="B7" s="500"/>
      <c r="C7" s="500"/>
      <c r="D7" s="500"/>
      <c r="E7" s="500"/>
      <c r="F7" s="500"/>
      <c r="G7" s="500"/>
      <c r="H7" s="500"/>
      <c r="I7" s="222" t="s">
        <v>16</v>
      </c>
      <c r="J7" s="224">
        <f>SUM(M12:M120)</f>
        <v>0</v>
      </c>
      <c r="N7" s="208" t="s">
        <v>542</v>
      </c>
      <c r="O7" s="211">
        <f>PK!AA1</f>
        <v>1</v>
      </c>
      <c r="P7" s="212">
        <f>PK!AA2</f>
        <v>1</v>
      </c>
      <c r="Q7" s="232">
        <f>PK!AA3</f>
        <v>1</v>
      </c>
      <c r="R7" s="211" t="s">
        <v>2569</v>
      </c>
      <c r="S7" s="232">
        <f>IF(RefStr!C44&lt;&gt;"",IF(ISERROR(INT(RefStr!C44)),0,RefStr!C44),0)</f>
        <v>1</v>
      </c>
      <c r="T7" s="211" t="s">
        <v>1862</v>
      </c>
      <c r="U7" s="232">
        <f>RefStr!C7</f>
        <v>5</v>
      </c>
      <c r="V7" s="211" t="s">
        <v>1193</v>
      </c>
      <c r="W7" s="232" t="str">
        <f>TRIM(UPPER(RefStr!C35))</f>
        <v>KOMUNALAC@KOMUNALAC-SAMOBOR.HR</v>
      </c>
      <c r="X7" s="211" t="s">
        <v>2515</v>
      </c>
      <c r="Y7" s="232" t="str">
        <f>RefStr!C70</f>
        <v>01/5554-311</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43831</v>
      </c>
      <c r="T8" s="211" t="s">
        <v>1861</v>
      </c>
      <c r="U8" s="232" t="str">
        <f>RefStr!D7</f>
        <v>Društvo s ograničenom odgovornošću</v>
      </c>
      <c r="V8" s="211" t="s">
        <v>2574</v>
      </c>
      <c r="W8" s="232" t="str">
        <f>RefStr!C42</f>
        <v>3811</v>
      </c>
      <c r="X8" s="211" t="s">
        <v>2516</v>
      </c>
      <c r="Y8" s="232" t="str">
        <f>TRIM(UPPER(RefStr!C72))</f>
        <v>LJERRKA-DUVNJAK@KOMUNALAC-SAMOBOR.HR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240</v>
      </c>
      <c r="Q9" s="231">
        <f>RefStr!F58</f>
        <v>246</v>
      </c>
      <c r="R9" s="211" t="s">
        <v>1860</v>
      </c>
      <c r="S9" s="232">
        <f>IF(RefStr!F4&lt;&gt;"",RefStr!F4,0)</f>
        <v>44196</v>
      </c>
      <c r="T9" s="211" t="s">
        <v>1821</v>
      </c>
      <c r="U9" s="232">
        <f>RefStr!C39</f>
        <v>380</v>
      </c>
      <c r="V9" s="211" t="s">
        <v>1414</v>
      </c>
      <c r="W9" s="232" t="str">
        <f>RefStr!D42</f>
        <v>Skupljanje neopasnog otpada</v>
      </c>
      <c r="X9" s="238" t="s">
        <v>221</v>
      </c>
      <c r="Y9" s="239" t="str">
        <f>RefStr!I66</f>
        <v>DA</v>
      </c>
      <c r="Z9" s="236" t="s">
        <v>219</v>
      </c>
      <c r="AA9" s="237" t="str">
        <f>RefStr!I64</f>
        <v>DA</v>
      </c>
    </row>
    <row r="10" spans="1:27" ht="13.5" customHeight="1">
      <c r="A10" s="510"/>
      <c r="B10" s="510"/>
      <c r="C10" s="510"/>
      <c r="D10" s="510"/>
      <c r="E10" s="510"/>
      <c r="F10" s="510"/>
      <c r="G10" s="510"/>
      <c r="H10" s="510"/>
      <c r="I10" s="510"/>
      <c r="J10" s="510"/>
      <c r="L10" s="195"/>
      <c r="M10" s="195"/>
      <c r="O10" s="230" t="s">
        <v>2123</v>
      </c>
      <c r="P10" s="213">
        <f>RefStr!C56</f>
        <v>242</v>
      </c>
      <c r="Q10" s="233">
        <f>RefStr!F56</f>
        <v>252</v>
      </c>
      <c r="R10" s="213" t="s">
        <v>1863</v>
      </c>
      <c r="S10" s="233">
        <f>RefStr!C23</f>
        <v>1</v>
      </c>
      <c r="T10" s="213" t="s">
        <v>2573</v>
      </c>
      <c r="U10" s="233" t="str">
        <f>RefStr!D39</f>
        <v>Samobor</v>
      </c>
      <c r="V10" s="240"/>
      <c r="W10" s="241"/>
      <c r="X10" s="242" t="s">
        <v>1974</v>
      </c>
      <c r="Y10" s="243">
        <f>RefStr!F12</f>
        <v>2020</v>
      </c>
      <c r="Z10" s="213" t="s">
        <v>209</v>
      </c>
      <c r="AA10" s="233" t="str">
        <f>RefStr!A75</f>
        <v>Ivica Karoglan, dipl. Ing. agr.</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3, a upisana veličina je 3.</v>
      </c>
      <c r="D50" s="487"/>
      <c r="E50" s="487"/>
      <c r="F50" s="487"/>
      <c r="G50" s="487"/>
      <c r="H50" s="487"/>
      <c r="I50" s="487"/>
      <c r="J50" s="487"/>
      <c r="L50" s="195">
        <f>IF(N50&lt;&gt;S3,1,0)</f>
        <v>0</v>
      </c>
      <c r="M50" s="195"/>
      <c r="N50" s="195">
        <f>IF(P8&gt;0,O50,AC50)</f>
        <v>3</v>
      </c>
      <c r="O50" s="199">
        <f>IF(SUM(Y50:AA50)&gt;1,4,IF(SUM(U50:W50)&gt;1,3,IF(SUM(Q50:S50)&gt;1,2,IF(S6="DA",2,1))))</f>
        <v>3</v>
      </c>
      <c r="P50" s="202" t="s">
        <v>2666</v>
      </c>
      <c r="Q50" s="202">
        <f>IF(Bilanca!I73&gt;2600000,1,0)</f>
        <v>1</v>
      </c>
      <c r="R50" s="201">
        <f>IF(RDG!I60&gt;5200000,1,0)</f>
        <v>1</v>
      </c>
      <c r="S50" s="201">
        <f>IF(P10&gt;10,1,0)</f>
        <v>1</v>
      </c>
      <c r="T50" s="201" t="s">
        <v>1948</v>
      </c>
      <c r="U50" s="201">
        <f>IF(Bilanca!I73&gt;30000000,1,0)</f>
        <v>1</v>
      </c>
      <c r="V50" s="201">
        <f>IF(RDG!I60&gt;60000000,1,0)</f>
        <v>1</v>
      </c>
      <c r="W50" s="201">
        <f>IF(P10&gt;50,1,0)</f>
        <v>1</v>
      </c>
      <c r="X50" s="201" t="s">
        <v>1949</v>
      </c>
      <c r="Y50" s="201">
        <f>IF(Bilanca!I73&gt;150000000,1,0)</f>
        <v>0</v>
      </c>
      <c r="Z50" s="201">
        <f>IF(RDG!I60&gt;300000000,1,0)</f>
        <v>0</v>
      </c>
      <c r="AA50" s="201">
        <f>IF(P10&gt;250,1,0)</f>
        <v>0</v>
      </c>
      <c r="AC50" s="199">
        <f>IF(SUM(AM50:AO50)&gt;1,4,IF(SUM(AI50:AK50)&gt;1,3,IF(SUM(AE50:AG50)&gt;1,2,IF(S6="DA",2,1))))</f>
        <v>3</v>
      </c>
      <c r="AD50" s="202" t="s">
        <v>2666</v>
      </c>
      <c r="AE50" s="202">
        <f>IF(Bilanca!J73&gt;2600000,1,0)</f>
        <v>1</v>
      </c>
      <c r="AF50" s="201">
        <f>IF(S9&gt;S8,IF(RDG!J60*365/(S9-S8)&gt;5200000,1,0),0)</f>
        <v>1</v>
      </c>
      <c r="AG50" s="201">
        <f>IF(Q10&gt;10,1,0)</f>
        <v>1</v>
      </c>
      <c r="AH50" s="201" t="s">
        <v>1948</v>
      </c>
      <c r="AI50" s="201">
        <f>IF(Bilanca!J73&gt;30000000,1,0)</f>
        <v>1</v>
      </c>
      <c r="AJ50" s="201">
        <f>IF(S9&gt;S8,IF(RDG!J60*365/(S9-S8)&gt;60000000,1,0),0)</f>
        <v>1</v>
      </c>
      <c r="AK50" s="201">
        <f>IF(Q10&gt;50,1,0)</f>
        <v>1</v>
      </c>
      <c r="AL50" s="201" t="s">
        <v>1949</v>
      </c>
      <c r="AM50" s="201">
        <f>IF(Bilanca!J73&gt;150000000,1,0)</f>
        <v>0</v>
      </c>
      <c r="AN50" s="201">
        <f>IF(S9&gt;S8,IF(RDG!J60*365/(S9-S8)&gt;300000000,1,0),0)</f>
        <v>0</v>
      </c>
      <c r="AO50" s="201">
        <f>IF(Q10&gt;250,1,0)</f>
        <v>1</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1</v>
      </c>
      <c r="AC52" s="225">
        <f>IF(P10&gt;25,1,0)</f>
        <v>1</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114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C:\Users\lduvnjak\Desktop\2020.-PLAN I IZVJEŠĆA\GODIŠNJI OBRAČUN ZA 2020.-GFI\GFI ZA 2020. i BILJEŠKE\GFI ZA 2020. S PRILOZIMA\[GFI 1.1.-31.12.2020.- Javna objava.xls]RefStr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2" activePane="bottomLeft" state="frozen"/>
      <selection pane="topLeft" activeCell="A1" sqref="A1"/>
      <selection pane="bottomLeft" activeCell="C19" sqref="C19"/>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2020</v>
      </c>
    </row>
    <row r="2" spans="1:17" s="148" customFormat="1" ht="60" customHeight="1">
      <c r="A2" s="365" t="s">
        <v>1057</v>
      </c>
      <c r="B2" s="366"/>
      <c r="C2" s="366"/>
      <c r="D2" s="366"/>
      <c r="E2" s="366"/>
      <c r="F2" s="366"/>
      <c r="G2" s="366"/>
      <c r="H2" s="366"/>
      <c r="I2" s="366"/>
      <c r="J2" s="366"/>
      <c r="K2" s="366"/>
      <c r="L2" s="366"/>
      <c r="M2" s="366"/>
      <c r="N2" s="367"/>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43831</v>
      </c>
      <c r="D4" s="361"/>
      <c r="E4" s="10" t="s">
        <v>1527</v>
      </c>
      <c r="F4" s="360">
        <v>44196</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21.7</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57.2</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2020</v>
      </c>
      <c r="G12" s="349"/>
      <c r="H12" s="341" t="s">
        <v>2105</v>
      </c>
      <c r="I12" s="342"/>
      <c r="J12" s="342"/>
      <c r="K12" s="156"/>
      <c r="L12" s="156"/>
      <c r="M12" s="156"/>
      <c r="N12" s="156"/>
      <c r="P12" s="54" t="s">
        <v>2353</v>
      </c>
      <c r="Q12" s="55">
        <f>INT(VALUE(H27))/10</f>
        <v>131641.9</v>
      </c>
    </row>
    <row r="13" spans="4:17" ht="9.75" customHeight="1">
      <c r="D13" s="156"/>
      <c r="E13" s="162"/>
      <c r="H13" s="27"/>
      <c r="I13" s="163"/>
      <c r="J13" s="163"/>
      <c r="K13" s="156"/>
      <c r="L13" s="156"/>
      <c r="M13" s="156"/>
      <c r="N13" s="156"/>
      <c r="P13" s="54" t="s">
        <v>2353</v>
      </c>
      <c r="Q13" s="55">
        <f>INT(VALUE(M27))/50</f>
        <v>1603466.6</v>
      </c>
    </row>
    <row r="14" spans="1:17" ht="15">
      <c r="A14" s="340" t="s">
        <v>2714</v>
      </c>
      <c r="B14" s="340"/>
      <c r="C14" s="340"/>
      <c r="D14" s="164"/>
      <c r="E14" s="165"/>
      <c r="F14" s="338"/>
      <c r="G14" s="339"/>
      <c r="H14" s="339"/>
      <c r="I14" s="156"/>
      <c r="J14" s="346" t="s">
        <v>2100</v>
      </c>
      <c r="K14" s="347"/>
      <c r="L14" s="347"/>
      <c r="M14" s="347"/>
      <c r="N14" s="347"/>
      <c r="P14" s="54" t="s">
        <v>2718</v>
      </c>
      <c r="Q14" s="55">
        <f>INT(VALUE(C27))/100</f>
        <v>170556813.55</v>
      </c>
    </row>
    <row r="15" spans="1:17" ht="19.5" customHeight="1">
      <c r="A15" s="343">
        <f>Skriveni!B59</f>
        <v>4427173569.539998</v>
      </c>
      <c r="B15" s="344"/>
      <c r="C15" s="345"/>
      <c r="D15" s="60"/>
      <c r="E15" s="60"/>
      <c r="F15" s="60"/>
      <c r="G15" s="60"/>
      <c r="H15" s="60"/>
      <c r="I15" s="60"/>
      <c r="J15" s="60"/>
      <c r="K15" s="60"/>
      <c r="L15" s="60"/>
      <c r="M15" s="60"/>
      <c r="N15" s="60"/>
      <c r="P15" s="54" t="s">
        <v>1817</v>
      </c>
      <c r="Q15" s="55">
        <f>LEN(Skriveni!B9)</f>
        <v>16</v>
      </c>
    </row>
    <row r="16" spans="4:17" ht="12.75" customHeight="1">
      <c r="D16" s="60"/>
      <c r="E16" s="60"/>
      <c r="F16" s="60"/>
      <c r="G16" s="60"/>
      <c r="H16" s="60"/>
      <c r="I16" s="60"/>
      <c r="P16" s="54" t="s">
        <v>1818</v>
      </c>
      <c r="Q16" s="55">
        <f>INT(VALUE(C31))/100</f>
        <v>104.3</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7</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2</v>
      </c>
      <c r="D19" s="276" t="str">
        <f>IF(C19="","Svrha predaje nije upisana",IF(ISNA(LOOKUP(C19,A118:A120,A118:A120)),"Nepostojeća ili neprepoznatljiva svrha predaje",IF(LOOKUP(C19,A118:A120,A118:A120)&lt;&gt;C19,"Nepostojeća ili neprepoznatljiva svrha predaje",LOOKUP(C19,A118:A120,B118:B120))))</f>
        <v>Predaja samo u svrhu javne objave</v>
      </c>
      <c r="E19" s="277"/>
      <c r="F19" s="277"/>
      <c r="G19" s="277"/>
      <c r="H19" s="277"/>
      <c r="I19" s="278" t="s">
        <v>1729</v>
      </c>
      <c r="J19" s="279"/>
      <c r="K19" s="279"/>
      <c r="L19" s="279"/>
      <c r="M19" s="279"/>
      <c r="N19" s="36" t="s">
        <v>2139</v>
      </c>
      <c r="P19" s="54" t="s">
        <v>1820</v>
      </c>
      <c r="Q19" s="55">
        <f>LEN(Skriveni!B12)</f>
        <v>32</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2138</v>
      </c>
      <c r="J21" s="283" t="s">
        <v>2110</v>
      </c>
      <c r="K21" s="279"/>
      <c r="L21" s="284" t="s">
        <v>2968</v>
      </c>
      <c r="M21" s="285"/>
      <c r="N21" s="286"/>
      <c r="P21" s="54" t="s">
        <v>1821</v>
      </c>
      <c r="Q21" s="55">
        <f>INT(VALUE(C39))</f>
        <v>380</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3811</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2953</v>
      </c>
      <c r="D27" s="378"/>
      <c r="E27" s="286"/>
      <c r="F27" s="290" t="s">
        <v>2406</v>
      </c>
      <c r="G27" s="322"/>
      <c r="H27" s="284" t="s">
        <v>2954</v>
      </c>
      <c r="I27" s="289"/>
      <c r="J27" s="290" t="s">
        <v>2099</v>
      </c>
      <c r="K27" s="291"/>
      <c r="L27" s="292"/>
      <c r="M27" s="284" t="s">
        <v>2967</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2955</v>
      </c>
      <c r="D29" s="324"/>
      <c r="E29" s="324"/>
      <c r="F29" s="324"/>
      <c r="G29" s="324"/>
      <c r="H29" s="324"/>
      <c r="I29" s="324"/>
      <c r="J29" s="324"/>
      <c r="K29" s="324"/>
      <c r="L29" s="325"/>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10430</v>
      </c>
      <c r="D31" s="329" t="s">
        <v>693</v>
      </c>
      <c r="E31" s="330"/>
      <c r="F31" s="323" t="s">
        <v>2956</v>
      </c>
      <c r="G31" s="331"/>
      <c r="H31" s="331"/>
      <c r="I31" s="331"/>
      <c r="J31" s="331"/>
      <c r="K31" s="331"/>
      <c r="L31" s="332"/>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2957</v>
      </c>
      <c r="D33" s="324"/>
      <c r="E33" s="324"/>
      <c r="F33" s="324"/>
      <c r="G33" s="324"/>
      <c r="H33" s="324"/>
      <c r="I33" s="324"/>
      <c r="J33" s="324"/>
      <c r="K33" s="324"/>
      <c r="L33" s="325"/>
      <c r="M33" s="60"/>
      <c r="N33" s="60"/>
      <c r="P33" s="54" t="s">
        <v>1824</v>
      </c>
      <c r="Q33" s="55">
        <f>INT(VALUE(Skriveni!B21))</f>
        <v>2</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2958</v>
      </c>
      <c r="D35" s="334"/>
      <c r="E35" s="334"/>
      <c r="F35" s="334"/>
      <c r="G35" s="334"/>
      <c r="H35" s="334"/>
      <c r="I35" s="335"/>
      <c r="J35" s="275" t="s">
        <v>188</v>
      </c>
      <c r="K35" s="278"/>
      <c r="L35" s="284" t="s">
        <v>2959</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t="s">
        <v>2960</v>
      </c>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380</v>
      </c>
      <c r="D39" s="326" t="str">
        <f>IF(C39="","Šifra grada/općine nije upisana",IF(ISNA(LOOKUP(C39,A177:A732,A177:A732)),"Šifra grada/općine ne postoji",IF(LOOKUP(C39,A177:A732,A177:A732)&lt;&gt;C39,"Šifra grada/općine ne postoji",LOOKUP(C39,A177:A732,B177:B732))))</f>
        <v>Samobor</v>
      </c>
      <c r="E39" s="327"/>
      <c r="F39" s="327"/>
      <c r="G39" s="327"/>
      <c r="H39" s="314" t="s">
        <v>2222</v>
      </c>
      <c r="I39" s="292"/>
      <c r="J39" s="58">
        <f>IF(C39&gt;0,LOOKUP(C39,A177:A732,C177:C732),"")</f>
        <v>1</v>
      </c>
      <c r="K39" s="315" t="str">
        <f>IF(J39="","Treba prvo upisati šifru grada/općine",LOOKUP(J39,A153:A173,B153:B173))</f>
        <v>ZAGREBAČKA</v>
      </c>
      <c r="L39" s="315"/>
      <c r="M39" s="315"/>
      <c r="N39" s="315"/>
      <c r="P39" s="54" t="s">
        <v>1826</v>
      </c>
      <c r="Q39" s="55">
        <f>C56+2*F56+3*C58+4*F58</f>
        <v>2450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2049</v>
      </c>
      <c r="D42" s="317" t="str">
        <f>IF(C42="","Šifra NKD-a nije upisana",IF(ISNA(LOOKUP(C42,A736:A1351,A736:A1351)),"Šifra NKD-a ne postoji",IF(LOOKUP(C42,A736:A1351,A736:A1351)&lt;&gt;C42,"Šifra NKD-a ne postoji",LOOKUP(C42,A736:A1351,B736:B1351))))</f>
        <v>Skupljanje neopasnog otpada</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31</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108582799.99</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3</v>
      </c>
      <c r="D50" s="270" t="str">
        <f>IF(C50="","Oznaka veličine nije upisana",IF(ISNA(LOOKUP(C50,A124:A127,A124:A127)),"Nepostojeća oznaka veličine",IF(LOOKUP(C50,A124:A127,A124:A127)&lt;&gt;C50,"Nepostojeća oznaka veličine",LOOKUP(C50,A124:A127,B124:B127))))</f>
        <v>Srednji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NE</v>
      </c>
      <c r="J54" s="280" t="s">
        <v>567</v>
      </c>
      <c r="K54" s="281"/>
      <c r="L54" s="281"/>
      <c r="M54" s="281"/>
      <c r="N54" s="281"/>
      <c r="O54" s="186"/>
      <c r="P54" s="54" t="s">
        <v>2569</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242</v>
      </c>
      <c r="D56" s="272" t="s">
        <v>2898</v>
      </c>
      <c r="E56" s="273"/>
      <c r="F56" s="44">
        <v>252</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240</v>
      </c>
      <c r="D58" s="309" t="s">
        <v>2898</v>
      </c>
      <c r="E58" s="309"/>
      <c r="F58" s="44">
        <v>246</v>
      </c>
      <c r="G58" s="309" t="s">
        <v>2899</v>
      </c>
      <c r="H58" s="309"/>
      <c r="I58" s="5" t="str">
        <f>IF(OR(NT_I!Q1&lt;&gt;0,NT_D!Q1&lt;&gt;0),"DA","NE")</f>
        <v>DA</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DA</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2138</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10" t="s">
        <v>2116</v>
      </c>
      <c r="D64" s="302"/>
      <c r="E64" s="302"/>
      <c r="F64" s="302"/>
      <c r="G64" s="156"/>
      <c r="H64" s="156"/>
      <c r="I64" s="226" t="s">
        <v>2138</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2961</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2962</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2963</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2964</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2" activePane="bottomLeft" state="frozen"/>
      <selection pane="topLeft" activeCell="A1" sqref="A1"/>
      <selection pane="bottomLeft" activeCell="I108" sqref="I108"/>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31.12.2020.</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17055681355; KOMUNALAC d.o.o.</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t="s">
        <v>2969</v>
      </c>
      <c r="I10" s="70">
        <f>I11+I18+I28+I39+I44</f>
        <v>92955213</v>
      </c>
      <c r="J10" s="70">
        <f>J11+J18+J28+J39+J44</f>
        <v>91060030</v>
      </c>
    </row>
    <row r="11" spans="1:10" ht="13.5" customHeight="1">
      <c r="A11" s="382" t="s">
        <v>1850</v>
      </c>
      <c r="B11" s="382"/>
      <c r="C11" s="382"/>
      <c r="D11" s="382"/>
      <c r="E11" s="382"/>
      <c r="F11" s="382"/>
      <c r="G11" s="19">
        <v>3</v>
      </c>
      <c r="H11" s="20" t="s">
        <v>2969</v>
      </c>
      <c r="I11" s="70">
        <f>SUM(I12:I17)</f>
        <v>177165</v>
      </c>
      <c r="J11" s="70">
        <f>SUM(J12:J17)</f>
        <v>174539</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t="s">
        <v>2969</v>
      </c>
      <c r="I13" s="71">
        <v>95765</v>
      </c>
      <c r="J13" s="71">
        <v>174539</v>
      </c>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t="s">
        <v>2969</v>
      </c>
      <c r="I16" s="71">
        <v>81400</v>
      </c>
      <c r="J16" s="71"/>
    </row>
    <row r="17" spans="1:10" ht="13.5" customHeight="1">
      <c r="A17" s="381" t="s">
        <v>969</v>
      </c>
      <c r="B17" s="381"/>
      <c r="C17" s="381"/>
      <c r="D17" s="381"/>
      <c r="E17" s="381"/>
      <c r="F17" s="381"/>
      <c r="G17" s="19">
        <v>9</v>
      </c>
      <c r="H17" s="20"/>
      <c r="I17" s="71"/>
      <c r="J17" s="71"/>
    </row>
    <row r="18" spans="1:10" ht="13.5" customHeight="1">
      <c r="A18" s="382" t="s">
        <v>731</v>
      </c>
      <c r="B18" s="382"/>
      <c r="C18" s="382"/>
      <c r="D18" s="382"/>
      <c r="E18" s="382"/>
      <c r="F18" s="382"/>
      <c r="G18" s="19">
        <v>10</v>
      </c>
      <c r="H18" s="20" t="s">
        <v>2971</v>
      </c>
      <c r="I18" s="70">
        <f>SUM(I19:I27)</f>
        <v>90354837</v>
      </c>
      <c r="J18" s="70">
        <f>SUM(J19:J27)</f>
        <v>88755701</v>
      </c>
    </row>
    <row r="19" spans="1:10" ht="13.5" customHeight="1">
      <c r="A19" s="381" t="s">
        <v>2176</v>
      </c>
      <c r="B19" s="381"/>
      <c r="C19" s="381"/>
      <c r="D19" s="381"/>
      <c r="E19" s="381"/>
      <c r="F19" s="381"/>
      <c r="G19" s="19">
        <v>11</v>
      </c>
      <c r="H19" s="20" t="s">
        <v>2971</v>
      </c>
      <c r="I19" s="71">
        <v>8447207</v>
      </c>
      <c r="J19" s="71">
        <v>8447207</v>
      </c>
    </row>
    <row r="20" spans="1:10" ht="13.5" customHeight="1">
      <c r="A20" s="381" t="s">
        <v>543</v>
      </c>
      <c r="B20" s="381"/>
      <c r="C20" s="381"/>
      <c r="D20" s="381"/>
      <c r="E20" s="381"/>
      <c r="F20" s="381"/>
      <c r="G20" s="19">
        <v>12</v>
      </c>
      <c r="H20" s="20" t="s">
        <v>2971</v>
      </c>
      <c r="I20" s="71">
        <v>55239629</v>
      </c>
      <c r="J20" s="71">
        <v>56999144</v>
      </c>
    </row>
    <row r="21" spans="1:10" ht="13.5" customHeight="1">
      <c r="A21" s="381" t="s">
        <v>2177</v>
      </c>
      <c r="B21" s="381"/>
      <c r="C21" s="381"/>
      <c r="D21" s="381"/>
      <c r="E21" s="381"/>
      <c r="F21" s="381"/>
      <c r="G21" s="19">
        <v>13</v>
      </c>
      <c r="H21" s="20" t="s">
        <v>2971</v>
      </c>
      <c r="I21" s="71">
        <v>4102033</v>
      </c>
      <c r="J21" s="71">
        <v>3998780</v>
      </c>
    </row>
    <row r="22" spans="1:10" ht="13.5" customHeight="1">
      <c r="A22" s="381" t="s">
        <v>2290</v>
      </c>
      <c r="B22" s="381"/>
      <c r="C22" s="381"/>
      <c r="D22" s="381"/>
      <c r="E22" s="381"/>
      <c r="F22" s="381"/>
      <c r="G22" s="19">
        <v>14</v>
      </c>
      <c r="H22" s="20" t="s">
        <v>2971</v>
      </c>
      <c r="I22" s="71">
        <v>11619757</v>
      </c>
      <c r="J22" s="71">
        <v>8757665</v>
      </c>
    </row>
    <row r="23" spans="1:10" ht="13.5" customHeight="1">
      <c r="A23" s="381" t="s">
        <v>2291</v>
      </c>
      <c r="B23" s="381"/>
      <c r="C23" s="381"/>
      <c r="D23" s="381"/>
      <c r="E23" s="381"/>
      <c r="F23" s="381"/>
      <c r="G23" s="19">
        <v>15</v>
      </c>
      <c r="H23" s="20"/>
      <c r="I23" s="71"/>
      <c r="J23" s="71"/>
    </row>
    <row r="24" spans="1:10" ht="13.5" customHeight="1">
      <c r="A24" s="381" t="s">
        <v>1082</v>
      </c>
      <c r="B24" s="381"/>
      <c r="C24" s="381"/>
      <c r="D24" s="381"/>
      <c r="E24" s="381"/>
      <c r="F24" s="381"/>
      <c r="G24" s="19">
        <v>16</v>
      </c>
      <c r="H24" s="20" t="s">
        <v>2971</v>
      </c>
      <c r="I24" s="71"/>
      <c r="J24" s="71">
        <v>1875515</v>
      </c>
    </row>
    <row r="25" spans="1:10" ht="13.5" customHeight="1">
      <c r="A25" s="381" t="s">
        <v>1083</v>
      </c>
      <c r="B25" s="381"/>
      <c r="C25" s="381"/>
      <c r="D25" s="381"/>
      <c r="E25" s="381"/>
      <c r="F25" s="381"/>
      <c r="G25" s="19">
        <v>17</v>
      </c>
      <c r="H25" s="20" t="s">
        <v>2971</v>
      </c>
      <c r="I25" s="71">
        <v>10709093</v>
      </c>
      <c r="J25" s="71">
        <v>8446220</v>
      </c>
    </row>
    <row r="26" spans="1:10" ht="13.5" customHeight="1">
      <c r="A26" s="381" t="s">
        <v>1084</v>
      </c>
      <c r="B26" s="381"/>
      <c r="C26" s="381"/>
      <c r="D26" s="381"/>
      <c r="E26" s="381"/>
      <c r="F26" s="381"/>
      <c r="G26" s="19">
        <v>18</v>
      </c>
      <c r="H26" s="20" t="s">
        <v>2971</v>
      </c>
      <c r="I26" s="71">
        <v>237118</v>
      </c>
      <c r="J26" s="71">
        <v>231170</v>
      </c>
    </row>
    <row r="27" spans="1:10" ht="13.5" customHeight="1">
      <c r="A27" s="381" t="s">
        <v>1085</v>
      </c>
      <c r="B27" s="381"/>
      <c r="C27" s="381"/>
      <c r="D27" s="381"/>
      <c r="E27" s="381"/>
      <c r="F27" s="381"/>
      <c r="G27" s="19">
        <v>19</v>
      </c>
      <c r="H27" s="20"/>
      <c r="I27" s="71"/>
      <c r="J27" s="71"/>
    </row>
    <row r="28" spans="1:10" ht="13.5" customHeight="1">
      <c r="A28" s="382" t="s">
        <v>2644</v>
      </c>
      <c r="B28" s="382"/>
      <c r="C28" s="382"/>
      <c r="D28" s="382"/>
      <c r="E28" s="382"/>
      <c r="F28" s="382"/>
      <c r="G28" s="19">
        <v>20</v>
      </c>
      <c r="H28" s="20" t="s">
        <v>2970</v>
      </c>
      <c r="I28" s="70">
        <f>SUM(I29:I38)</f>
        <v>2369490</v>
      </c>
      <c r="J28" s="70">
        <f>SUM(J29:J38)</f>
        <v>2081510</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t="s">
        <v>2970</v>
      </c>
      <c r="I36" s="71">
        <v>2369490</v>
      </c>
      <c r="J36" s="71">
        <v>2081510</v>
      </c>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2645</v>
      </c>
      <c r="B39" s="382"/>
      <c r="C39" s="382"/>
      <c r="D39" s="382"/>
      <c r="E39" s="382"/>
      <c r="F39" s="382"/>
      <c r="G39" s="19">
        <v>31</v>
      </c>
      <c r="H39" s="20" t="s">
        <v>2970</v>
      </c>
      <c r="I39" s="70">
        <f>SUM(I40:I43)</f>
        <v>53721</v>
      </c>
      <c r="J39" s="70">
        <f>SUM(J40:J43)</f>
        <v>48280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t="s">
        <v>2970</v>
      </c>
      <c r="I43" s="71">
        <v>53721</v>
      </c>
      <c r="J43" s="71">
        <v>48280</v>
      </c>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t="s">
        <v>2972</v>
      </c>
      <c r="I45" s="70">
        <f>I46+I54+I61+I71</f>
        <v>35983887</v>
      </c>
      <c r="J45" s="70">
        <f>J46+J54+J61+J71</f>
        <v>31032448</v>
      </c>
    </row>
    <row r="46" spans="1:10" ht="13.5" customHeight="1">
      <c r="A46" s="382" t="s">
        <v>2647</v>
      </c>
      <c r="B46" s="382"/>
      <c r="C46" s="382"/>
      <c r="D46" s="382"/>
      <c r="E46" s="382"/>
      <c r="F46" s="382"/>
      <c r="G46" s="19">
        <v>38</v>
      </c>
      <c r="H46" s="20" t="s">
        <v>2973</v>
      </c>
      <c r="I46" s="70">
        <f>SUM(I47:I53)</f>
        <v>1191583</v>
      </c>
      <c r="J46" s="70">
        <f>SUM(J47:J53)</f>
        <v>1011649</v>
      </c>
    </row>
    <row r="47" spans="1:10" ht="13.5" customHeight="1">
      <c r="A47" s="381" t="s">
        <v>970</v>
      </c>
      <c r="B47" s="381"/>
      <c r="C47" s="381"/>
      <c r="D47" s="381"/>
      <c r="E47" s="381"/>
      <c r="F47" s="381"/>
      <c r="G47" s="19">
        <v>39</v>
      </c>
      <c r="H47" s="20" t="s">
        <v>2973</v>
      </c>
      <c r="I47" s="71">
        <v>654970</v>
      </c>
      <c r="J47" s="71">
        <v>568294</v>
      </c>
    </row>
    <row r="48" spans="1:10" ht="13.5" customHeight="1">
      <c r="A48" s="381" t="s">
        <v>971</v>
      </c>
      <c r="B48" s="381"/>
      <c r="C48" s="381"/>
      <c r="D48" s="381"/>
      <c r="E48" s="381"/>
      <c r="F48" s="381"/>
      <c r="G48" s="19">
        <v>40</v>
      </c>
      <c r="H48" s="20" t="s">
        <v>2973</v>
      </c>
      <c r="I48" s="71">
        <v>93243</v>
      </c>
      <c r="J48" s="71">
        <v>84182</v>
      </c>
    </row>
    <row r="49" spans="1:10" ht="13.5" customHeight="1">
      <c r="A49" s="381" t="s">
        <v>972</v>
      </c>
      <c r="B49" s="381"/>
      <c r="C49" s="381"/>
      <c r="D49" s="381"/>
      <c r="E49" s="381"/>
      <c r="F49" s="381"/>
      <c r="G49" s="19">
        <v>41</v>
      </c>
      <c r="H49" s="20" t="s">
        <v>2973</v>
      </c>
      <c r="I49" s="71">
        <v>335452</v>
      </c>
      <c r="J49" s="71">
        <v>252255</v>
      </c>
    </row>
    <row r="50" spans="1:10" ht="13.5" customHeight="1">
      <c r="A50" s="381" t="s">
        <v>973</v>
      </c>
      <c r="B50" s="381"/>
      <c r="C50" s="381"/>
      <c r="D50" s="381"/>
      <c r="E50" s="381"/>
      <c r="F50" s="381"/>
      <c r="G50" s="19">
        <v>42</v>
      </c>
      <c r="H50" s="20" t="s">
        <v>2973</v>
      </c>
      <c r="I50" s="71">
        <v>107918</v>
      </c>
      <c r="J50" s="71">
        <v>106918</v>
      </c>
    </row>
    <row r="51" spans="1:10" ht="13.5" customHeight="1">
      <c r="A51" s="381" t="s">
        <v>974</v>
      </c>
      <c r="B51" s="381"/>
      <c r="C51" s="381"/>
      <c r="D51" s="381"/>
      <c r="E51" s="381"/>
      <c r="F51" s="381"/>
      <c r="G51" s="19">
        <v>43</v>
      </c>
      <c r="H51" s="20"/>
      <c r="I51" s="71"/>
      <c r="J51" s="71"/>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t="s">
        <v>2974</v>
      </c>
      <c r="I54" s="70">
        <f>SUM(I55:I60)</f>
        <v>31900004</v>
      </c>
      <c r="J54" s="70">
        <f>SUM(J55:J60)</f>
        <v>27588422</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c r="J56" s="71"/>
    </row>
    <row r="57" spans="1:10" ht="13.5" customHeight="1">
      <c r="A57" s="381" t="s">
        <v>2636</v>
      </c>
      <c r="B57" s="381"/>
      <c r="C57" s="381"/>
      <c r="D57" s="381"/>
      <c r="E57" s="381"/>
      <c r="F57" s="381"/>
      <c r="G57" s="19">
        <v>49</v>
      </c>
      <c r="H57" s="20" t="s">
        <v>2974</v>
      </c>
      <c r="I57" s="71">
        <v>6685693</v>
      </c>
      <c r="J57" s="71">
        <v>5746328</v>
      </c>
    </row>
    <row r="58" spans="1:10" ht="13.5" customHeight="1">
      <c r="A58" s="381" t="s">
        <v>350</v>
      </c>
      <c r="B58" s="381"/>
      <c r="C58" s="381"/>
      <c r="D58" s="381"/>
      <c r="E58" s="381"/>
      <c r="F58" s="381"/>
      <c r="G58" s="19">
        <v>50</v>
      </c>
      <c r="H58" s="20" t="s">
        <v>2974</v>
      </c>
      <c r="I58" s="71">
        <v>1454</v>
      </c>
      <c r="J58" s="71">
        <v>2287</v>
      </c>
    </row>
    <row r="59" spans="1:10" ht="13.5" customHeight="1">
      <c r="A59" s="381" t="s">
        <v>351</v>
      </c>
      <c r="B59" s="381"/>
      <c r="C59" s="381"/>
      <c r="D59" s="381"/>
      <c r="E59" s="381"/>
      <c r="F59" s="381"/>
      <c r="G59" s="19">
        <v>51</v>
      </c>
      <c r="H59" s="20" t="s">
        <v>2974</v>
      </c>
      <c r="I59" s="71">
        <v>56599</v>
      </c>
      <c r="J59" s="71">
        <v>74164</v>
      </c>
    </row>
    <row r="60" spans="1:10" ht="13.5" customHeight="1">
      <c r="A60" s="381" t="s">
        <v>2638</v>
      </c>
      <c r="B60" s="381"/>
      <c r="C60" s="381"/>
      <c r="D60" s="381"/>
      <c r="E60" s="381"/>
      <c r="F60" s="381"/>
      <c r="G60" s="19">
        <v>52</v>
      </c>
      <c r="H60" s="20" t="s">
        <v>2974</v>
      </c>
      <c r="I60" s="71">
        <v>25156258</v>
      </c>
      <c r="J60" s="71">
        <v>21765643</v>
      </c>
    </row>
    <row r="61" spans="1:10" ht="13.5" customHeight="1">
      <c r="A61" s="382" t="s">
        <v>2649</v>
      </c>
      <c r="B61" s="382"/>
      <c r="C61" s="382"/>
      <c r="D61" s="382"/>
      <c r="E61" s="382"/>
      <c r="F61" s="382"/>
      <c r="G61" s="19">
        <v>53</v>
      </c>
      <c r="H61" s="20" t="s">
        <v>2975</v>
      </c>
      <c r="I61" s="70">
        <f>SUM(I62:I70)</f>
        <v>125886</v>
      </c>
      <c r="J61" s="70">
        <f>SUM(J62:J70)</f>
        <v>92656</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t="s">
        <v>2975</v>
      </c>
      <c r="I69" s="71">
        <v>125886</v>
      </c>
      <c r="J69" s="71">
        <v>92656</v>
      </c>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t="s">
        <v>2976</v>
      </c>
      <c r="I71" s="71">
        <v>2766414</v>
      </c>
      <c r="J71" s="71">
        <v>2339721</v>
      </c>
    </row>
    <row r="72" spans="1:10" ht="24.75" customHeight="1">
      <c r="A72" s="383" t="s">
        <v>1558</v>
      </c>
      <c r="B72" s="383"/>
      <c r="C72" s="383"/>
      <c r="D72" s="383"/>
      <c r="E72" s="383"/>
      <c r="F72" s="383"/>
      <c r="G72" s="19">
        <v>64</v>
      </c>
      <c r="H72" s="20" t="s">
        <v>2977</v>
      </c>
      <c r="I72" s="71">
        <v>2442</v>
      </c>
      <c r="J72" s="71">
        <v>1593</v>
      </c>
    </row>
    <row r="73" spans="1:10" ht="13.5" customHeight="1">
      <c r="A73" s="383" t="s">
        <v>2650</v>
      </c>
      <c r="B73" s="383"/>
      <c r="C73" s="383"/>
      <c r="D73" s="383"/>
      <c r="E73" s="383"/>
      <c r="F73" s="383"/>
      <c r="G73" s="19">
        <v>65</v>
      </c>
      <c r="H73" s="20"/>
      <c r="I73" s="70">
        <f>I9+I10+I45+I72</f>
        <v>128941542</v>
      </c>
      <c r="J73" s="70">
        <f>J9+J10+J45+J72</f>
        <v>122094071</v>
      </c>
    </row>
    <row r="74" spans="1:10" ht="13.5" customHeight="1">
      <c r="A74" s="384" t="s">
        <v>257</v>
      </c>
      <c r="B74" s="384"/>
      <c r="C74" s="384"/>
      <c r="D74" s="384"/>
      <c r="E74" s="384"/>
      <c r="F74" s="384"/>
      <c r="G74" s="21">
        <v>66</v>
      </c>
      <c r="H74" s="22" t="s">
        <v>2978</v>
      </c>
      <c r="I74" s="72">
        <v>89356299</v>
      </c>
      <c r="J74" s="72">
        <v>90085478</v>
      </c>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t="s">
        <v>2966</v>
      </c>
      <c r="I76" s="70">
        <f>I77+I78+I79+I85+I86+I90+I93+I96</f>
        <v>54651827</v>
      </c>
      <c r="J76" s="70">
        <f>J77+J78+J79+J85+J86+J90+J93+J96</f>
        <v>51210236</v>
      </c>
      <c r="L76" s="2" t="s">
        <v>2591</v>
      </c>
    </row>
    <row r="77" spans="1:10" ht="13.5" customHeight="1">
      <c r="A77" s="382" t="s">
        <v>935</v>
      </c>
      <c r="B77" s="382"/>
      <c r="C77" s="382"/>
      <c r="D77" s="382"/>
      <c r="E77" s="382"/>
      <c r="F77" s="382"/>
      <c r="G77" s="19">
        <v>68</v>
      </c>
      <c r="H77" s="20" t="s">
        <v>2966</v>
      </c>
      <c r="I77" s="71">
        <v>60421400</v>
      </c>
      <c r="J77" s="71">
        <v>60421400</v>
      </c>
    </row>
    <row r="78" spans="1:12" ht="13.5" customHeight="1">
      <c r="A78" s="382" t="s">
        <v>936</v>
      </c>
      <c r="B78" s="382"/>
      <c r="C78" s="382"/>
      <c r="D78" s="382"/>
      <c r="E78" s="382"/>
      <c r="F78" s="382"/>
      <c r="G78" s="19">
        <v>69</v>
      </c>
      <c r="H78" s="20"/>
      <c r="I78" s="71"/>
      <c r="J78" s="71"/>
      <c r="L78" s="2" t="s">
        <v>2591</v>
      </c>
    </row>
    <row r="79" spans="1:12" ht="13.5" customHeight="1">
      <c r="A79" s="382" t="s">
        <v>2473</v>
      </c>
      <c r="B79" s="382"/>
      <c r="C79" s="382"/>
      <c r="D79" s="382"/>
      <c r="E79" s="382"/>
      <c r="F79" s="382"/>
      <c r="G79" s="19">
        <v>70</v>
      </c>
      <c r="H79" s="20" t="s">
        <v>2966</v>
      </c>
      <c r="I79" s="70">
        <f>I80+I81-I82+I83+I84</f>
        <v>721591</v>
      </c>
      <c r="J79" s="70">
        <f>J80+J81-J82+J83+J84</f>
        <v>721591</v>
      </c>
      <c r="L79" s="2" t="s">
        <v>2591</v>
      </c>
    </row>
    <row r="80" spans="1:10" ht="13.5" customHeight="1">
      <c r="A80" s="381" t="s">
        <v>2641</v>
      </c>
      <c r="B80" s="381"/>
      <c r="C80" s="381"/>
      <c r="D80" s="381"/>
      <c r="E80" s="381"/>
      <c r="F80" s="381"/>
      <c r="G80" s="19">
        <v>71</v>
      </c>
      <c r="H80" s="20"/>
      <c r="I80" s="71"/>
      <c r="J80" s="71"/>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t="s">
        <v>2966</v>
      </c>
      <c r="I84" s="71">
        <v>721591</v>
      </c>
      <c r="J84" s="71">
        <v>721591</v>
      </c>
    </row>
    <row r="85" spans="1:12" ht="13.5" customHeight="1">
      <c r="A85" s="382" t="s">
        <v>1606</v>
      </c>
      <c r="B85" s="382"/>
      <c r="C85" s="382"/>
      <c r="D85" s="382"/>
      <c r="E85" s="382"/>
      <c r="F85" s="382"/>
      <c r="G85" s="19">
        <v>76</v>
      </c>
      <c r="H85" s="20"/>
      <c r="I85" s="71"/>
      <c r="J85" s="71"/>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t="s">
        <v>2966</v>
      </c>
      <c r="I90" s="70">
        <f>I91-I92</f>
        <v>-6571613</v>
      </c>
      <c r="J90" s="70">
        <f>J91-J92</f>
        <v>-6491164</v>
      </c>
      <c r="L90" s="2" t="s">
        <v>2591</v>
      </c>
    </row>
    <row r="91" spans="1:10" ht="13.5" customHeight="1">
      <c r="A91" s="381" t="s">
        <v>1139</v>
      </c>
      <c r="B91" s="381"/>
      <c r="C91" s="381"/>
      <c r="D91" s="381"/>
      <c r="E91" s="381"/>
      <c r="F91" s="381"/>
      <c r="G91" s="19">
        <v>82</v>
      </c>
      <c r="H91" s="20"/>
      <c r="I91" s="71"/>
      <c r="J91" s="71"/>
    </row>
    <row r="92" spans="1:10" ht="13.5" customHeight="1">
      <c r="A92" s="381" t="s">
        <v>1140</v>
      </c>
      <c r="B92" s="381"/>
      <c r="C92" s="381"/>
      <c r="D92" s="381"/>
      <c r="E92" s="381"/>
      <c r="F92" s="381"/>
      <c r="G92" s="19">
        <v>83</v>
      </c>
      <c r="H92" s="20" t="s">
        <v>2966</v>
      </c>
      <c r="I92" s="71">
        <v>6571613</v>
      </c>
      <c r="J92" s="71">
        <v>6491164</v>
      </c>
    </row>
    <row r="93" spans="1:12" ht="13.5" customHeight="1">
      <c r="A93" s="382" t="s">
        <v>2653</v>
      </c>
      <c r="B93" s="382"/>
      <c r="C93" s="382"/>
      <c r="D93" s="382"/>
      <c r="E93" s="382"/>
      <c r="F93" s="382"/>
      <c r="G93" s="19">
        <v>84</v>
      </c>
      <c r="H93" s="20" t="s">
        <v>2966</v>
      </c>
      <c r="I93" s="70">
        <f>I94-I95</f>
        <v>80449</v>
      </c>
      <c r="J93" s="70">
        <f>J94-J95</f>
        <v>-3441591</v>
      </c>
      <c r="L93" s="2" t="s">
        <v>2591</v>
      </c>
    </row>
    <row r="94" spans="1:10" ht="13.5" customHeight="1">
      <c r="A94" s="381" t="s">
        <v>2640</v>
      </c>
      <c r="B94" s="381"/>
      <c r="C94" s="381"/>
      <c r="D94" s="381"/>
      <c r="E94" s="381"/>
      <c r="F94" s="381"/>
      <c r="G94" s="19">
        <v>85</v>
      </c>
      <c r="H94" s="20" t="s">
        <v>2966</v>
      </c>
      <c r="I94" s="71">
        <v>80449</v>
      </c>
      <c r="J94" s="71"/>
    </row>
    <row r="95" spans="1:10" ht="13.5" customHeight="1">
      <c r="A95" s="381" t="s">
        <v>1141</v>
      </c>
      <c r="B95" s="381"/>
      <c r="C95" s="381"/>
      <c r="D95" s="381"/>
      <c r="E95" s="381"/>
      <c r="F95" s="381"/>
      <c r="G95" s="19">
        <v>86</v>
      </c>
      <c r="H95" s="20" t="s">
        <v>2966</v>
      </c>
      <c r="I95" s="71"/>
      <c r="J95" s="71">
        <v>3441591</v>
      </c>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t="s">
        <v>2979</v>
      </c>
      <c r="I97" s="70">
        <f>SUM(I98:I103)</f>
        <v>561730</v>
      </c>
      <c r="J97" s="70">
        <f>SUM(J98:J103)</f>
        <v>516397</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t="s">
        <v>2979</v>
      </c>
      <c r="I100" s="71">
        <v>561730</v>
      </c>
      <c r="J100" s="71">
        <v>516397</v>
      </c>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c r="J103" s="71"/>
    </row>
    <row r="104" spans="1:10" ht="13.5" customHeight="1">
      <c r="A104" s="383" t="s">
        <v>2655</v>
      </c>
      <c r="B104" s="383"/>
      <c r="C104" s="383"/>
      <c r="D104" s="383"/>
      <c r="E104" s="383"/>
      <c r="F104" s="383"/>
      <c r="G104" s="19">
        <v>95</v>
      </c>
      <c r="H104" s="20" t="s">
        <v>2980</v>
      </c>
      <c r="I104" s="70">
        <f>SUM(I105:I115)</f>
        <v>19201089</v>
      </c>
      <c r="J104" s="70">
        <f>SUM(J105:J115)</f>
        <v>15231624</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t="s">
        <v>2980</v>
      </c>
      <c r="I110" s="71">
        <v>19139212</v>
      </c>
      <c r="J110" s="71">
        <v>15172622</v>
      </c>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c r="J112" s="71"/>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t="s">
        <v>2980</v>
      </c>
      <c r="I114" s="71">
        <v>61877</v>
      </c>
      <c r="J114" s="71">
        <v>59002</v>
      </c>
    </row>
    <row r="115" spans="1:10" ht="13.5" customHeight="1">
      <c r="A115" s="381" t="s">
        <v>503</v>
      </c>
      <c r="B115" s="381"/>
      <c r="C115" s="381"/>
      <c r="D115" s="381"/>
      <c r="E115" s="381"/>
      <c r="F115" s="381"/>
      <c r="G115" s="19">
        <v>106</v>
      </c>
      <c r="H115" s="20"/>
      <c r="I115" s="71"/>
      <c r="J115" s="71"/>
    </row>
    <row r="116" spans="1:10" ht="13.5" customHeight="1">
      <c r="A116" s="383" t="s">
        <v>2656</v>
      </c>
      <c r="B116" s="383"/>
      <c r="C116" s="383"/>
      <c r="D116" s="383"/>
      <c r="E116" s="383"/>
      <c r="F116" s="383"/>
      <c r="G116" s="19">
        <v>107</v>
      </c>
      <c r="H116" s="20" t="s">
        <v>2981</v>
      </c>
      <c r="I116" s="70">
        <f>SUM(I117:I130)</f>
        <v>41671736</v>
      </c>
      <c r="J116" s="70">
        <f>SUM(J117:J130)</f>
        <v>38370835</v>
      </c>
    </row>
    <row r="117" spans="1:10" ht="13.5" customHeight="1">
      <c r="A117" s="381" t="s">
        <v>2193</v>
      </c>
      <c r="B117" s="381"/>
      <c r="C117" s="381"/>
      <c r="D117" s="381"/>
      <c r="E117" s="381"/>
      <c r="F117" s="381"/>
      <c r="G117" s="19">
        <v>108</v>
      </c>
      <c r="H117" s="20"/>
      <c r="I117" s="71"/>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t="s">
        <v>2981</v>
      </c>
      <c r="I121" s="71">
        <v>167240</v>
      </c>
      <c r="J121" s="71">
        <v>117737</v>
      </c>
    </row>
    <row r="122" spans="1:10" ht="13.5" customHeight="1">
      <c r="A122" s="381" t="s">
        <v>362</v>
      </c>
      <c r="B122" s="381"/>
      <c r="C122" s="381"/>
      <c r="D122" s="381"/>
      <c r="E122" s="381"/>
      <c r="F122" s="381"/>
      <c r="G122" s="19">
        <v>113</v>
      </c>
      <c r="H122" s="20" t="s">
        <v>2981</v>
      </c>
      <c r="I122" s="71">
        <v>8224219</v>
      </c>
      <c r="J122" s="71">
        <v>8501920</v>
      </c>
    </row>
    <row r="123" spans="1:10" ht="13.5" customHeight="1">
      <c r="A123" s="381" t="s">
        <v>357</v>
      </c>
      <c r="B123" s="381"/>
      <c r="C123" s="381"/>
      <c r="D123" s="381"/>
      <c r="E123" s="381"/>
      <c r="F123" s="381"/>
      <c r="G123" s="19">
        <v>114</v>
      </c>
      <c r="H123" s="20"/>
      <c r="I123" s="71"/>
      <c r="J123" s="71"/>
    </row>
    <row r="124" spans="1:10" ht="13.5" customHeight="1">
      <c r="A124" s="381" t="s">
        <v>358</v>
      </c>
      <c r="B124" s="381"/>
      <c r="C124" s="381"/>
      <c r="D124" s="381"/>
      <c r="E124" s="381"/>
      <c r="F124" s="381"/>
      <c r="G124" s="19">
        <v>115</v>
      </c>
      <c r="H124" s="20" t="s">
        <v>2981</v>
      </c>
      <c r="I124" s="71">
        <v>4178527</v>
      </c>
      <c r="J124" s="71">
        <v>4317943</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t="s">
        <v>2981</v>
      </c>
      <c r="I126" s="71">
        <v>2140537</v>
      </c>
      <c r="J126" s="71">
        <v>2243128</v>
      </c>
    </row>
    <row r="127" spans="1:10" ht="13.5" customHeight="1">
      <c r="A127" s="381" t="s">
        <v>364</v>
      </c>
      <c r="B127" s="381"/>
      <c r="C127" s="381"/>
      <c r="D127" s="381"/>
      <c r="E127" s="381"/>
      <c r="F127" s="381"/>
      <c r="G127" s="19">
        <v>118</v>
      </c>
      <c r="H127" s="20" t="s">
        <v>2981</v>
      </c>
      <c r="I127" s="71">
        <v>439725</v>
      </c>
      <c r="J127" s="71">
        <v>648582</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t="s">
        <v>2981</v>
      </c>
      <c r="I130" s="71">
        <v>26521488</v>
      </c>
      <c r="J130" s="71">
        <v>22541525</v>
      </c>
    </row>
    <row r="131" spans="1:10" ht="24.75" customHeight="1">
      <c r="A131" s="383" t="s">
        <v>1560</v>
      </c>
      <c r="B131" s="383"/>
      <c r="C131" s="383"/>
      <c r="D131" s="383"/>
      <c r="E131" s="383"/>
      <c r="F131" s="383"/>
      <c r="G131" s="19">
        <v>122</v>
      </c>
      <c r="H131" s="20" t="s">
        <v>2982</v>
      </c>
      <c r="I131" s="71">
        <v>12855160</v>
      </c>
      <c r="J131" s="71">
        <v>16764979</v>
      </c>
    </row>
    <row r="132" spans="1:10" ht="13.5" customHeight="1">
      <c r="A132" s="383" t="s">
        <v>2657</v>
      </c>
      <c r="B132" s="383"/>
      <c r="C132" s="383"/>
      <c r="D132" s="383"/>
      <c r="E132" s="383"/>
      <c r="F132" s="383"/>
      <c r="G132" s="19">
        <v>123</v>
      </c>
      <c r="H132" s="20"/>
      <c r="I132" s="70">
        <f>I76+I97+I104+I116+I131</f>
        <v>128941542</v>
      </c>
      <c r="J132" s="70">
        <f>J76+J97+J104+J116+J131</f>
        <v>122094071</v>
      </c>
    </row>
    <row r="133" spans="1:10" ht="13.5" customHeight="1">
      <c r="A133" s="384" t="s">
        <v>662</v>
      </c>
      <c r="B133" s="384"/>
      <c r="C133" s="384"/>
      <c r="D133" s="384"/>
      <c r="E133" s="384"/>
      <c r="F133" s="384"/>
      <c r="G133" s="21">
        <v>124</v>
      </c>
      <c r="H133" s="22" t="s">
        <v>2983</v>
      </c>
      <c r="I133" s="72">
        <v>89356299</v>
      </c>
      <c r="J133" s="72">
        <v>90085478</v>
      </c>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77:J77 I9:J74 I91:J92 I94:J95 I97:J133">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77" activePane="bottomLeft" state="frozen"/>
      <selection pane="topLeft" activeCell="A1" sqref="A1"/>
      <selection pane="bottomLeft" activeCell="I39" sqref="I39"/>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01.01.2020. do 31.12.2020.</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17055681355; KOMUNALAC d.o.o.</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t="s">
        <v>2984</v>
      </c>
      <c r="I8" s="84">
        <f>SUM(I9:I13)</f>
        <v>62848078</v>
      </c>
      <c r="J8" s="84">
        <f>SUM(J9:J13)</f>
        <v>64212024</v>
      </c>
      <c r="Q8" s="2">
        <f>IF(OR(MIN(I70:J75)&lt;&gt;0,MAX(I70:J75)&lt;&gt;0),1,0)</f>
        <v>0</v>
      </c>
      <c r="R8" s="73" t="s">
        <v>2597</v>
      </c>
    </row>
    <row r="9" spans="1:10" s="2" customFormat="1" ht="13.5" customHeight="1">
      <c r="A9" s="381" t="s">
        <v>1434</v>
      </c>
      <c r="B9" s="381"/>
      <c r="C9" s="381"/>
      <c r="D9" s="381"/>
      <c r="E9" s="381"/>
      <c r="F9" s="381"/>
      <c r="G9" s="19">
        <v>126</v>
      </c>
      <c r="H9" s="20"/>
      <c r="I9" s="71"/>
      <c r="J9" s="71"/>
    </row>
    <row r="10" spans="1:10" s="2" customFormat="1" ht="13.5" customHeight="1">
      <c r="A10" s="381" t="s">
        <v>730</v>
      </c>
      <c r="B10" s="381"/>
      <c r="C10" s="381"/>
      <c r="D10" s="381"/>
      <c r="E10" s="381"/>
      <c r="F10" s="381"/>
      <c r="G10" s="19">
        <v>127</v>
      </c>
      <c r="H10" s="20" t="s">
        <v>2984</v>
      </c>
      <c r="I10" s="71">
        <v>61098780</v>
      </c>
      <c r="J10" s="71">
        <v>61114620</v>
      </c>
    </row>
    <row r="11" spans="1:10" s="2" customFormat="1" ht="13.5" customHeight="1">
      <c r="A11" s="381" t="s">
        <v>1435</v>
      </c>
      <c r="B11" s="381"/>
      <c r="C11" s="381"/>
      <c r="D11" s="381"/>
      <c r="E11" s="381"/>
      <c r="F11" s="381"/>
      <c r="G11" s="19">
        <v>128</v>
      </c>
      <c r="H11" s="20" t="s">
        <v>2984</v>
      </c>
      <c r="I11" s="71"/>
      <c r="J11" s="71">
        <v>872000</v>
      </c>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t="s">
        <v>2984</v>
      </c>
      <c r="I13" s="71">
        <v>1749298</v>
      </c>
      <c r="J13" s="71">
        <v>2225404</v>
      </c>
    </row>
    <row r="14" spans="1:10" s="2" customFormat="1" ht="13.5" customHeight="1">
      <c r="A14" s="383" t="s">
        <v>1837</v>
      </c>
      <c r="B14" s="383"/>
      <c r="C14" s="383"/>
      <c r="D14" s="383"/>
      <c r="E14" s="383"/>
      <c r="F14" s="383"/>
      <c r="G14" s="19">
        <v>131</v>
      </c>
      <c r="H14" s="20" t="s">
        <v>2985</v>
      </c>
      <c r="I14" s="70">
        <f>I15+I16+I20+I24+I25+I26+I29+I36</f>
        <v>62186639</v>
      </c>
      <c r="J14" s="70">
        <f>J15+J16+J20+J24+J25+J26+J29+J36</f>
        <v>67063994</v>
      </c>
    </row>
    <row r="15" spans="1:12" s="2" customFormat="1" ht="13.5" customHeight="1">
      <c r="A15" s="381" t="s">
        <v>258</v>
      </c>
      <c r="B15" s="381"/>
      <c r="C15" s="381"/>
      <c r="D15" s="381"/>
      <c r="E15" s="381"/>
      <c r="F15" s="381"/>
      <c r="G15" s="19">
        <v>132</v>
      </c>
      <c r="H15" s="20"/>
      <c r="I15" s="71"/>
      <c r="J15" s="71"/>
      <c r="L15" s="2" t="s">
        <v>2591</v>
      </c>
    </row>
    <row r="16" spans="1:10" s="2" customFormat="1" ht="13.5" customHeight="1">
      <c r="A16" s="381" t="s">
        <v>1838</v>
      </c>
      <c r="B16" s="381"/>
      <c r="C16" s="381"/>
      <c r="D16" s="381"/>
      <c r="E16" s="381"/>
      <c r="F16" s="381"/>
      <c r="G16" s="19">
        <v>133</v>
      </c>
      <c r="H16" s="20" t="s">
        <v>2985</v>
      </c>
      <c r="I16" s="70">
        <f>SUM(I17:I19)</f>
        <v>24567202</v>
      </c>
      <c r="J16" s="70">
        <f>SUM(J17:J19)</f>
        <v>28282674</v>
      </c>
    </row>
    <row r="17" spans="1:10" s="2" customFormat="1" ht="13.5" customHeight="1">
      <c r="A17" s="410" t="s">
        <v>504</v>
      </c>
      <c r="B17" s="410"/>
      <c r="C17" s="410"/>
      <c r="D17" s="410"/>
      <c r="E17" s="410"/>
      <c r="F17" s="410"/>
      <c r="G17" s="19">
        <v>134</v>
      </c>
      <c r="H17" s="20" t="s">
        <v>2985</v>
      </c>
      <c r="I17" s="71">
        <v>9947254</v>
      </c>
      <c r="J17" s="71">
        <v>10009427</v>
      </c>
    </row>
    <row r="18" spans="1:10" s="2" customFormat="1" ht="13.5" customHeight="1">
      <c r="A18" s="410" t="s">
        <v>505</v>
      </c>
      <c r="B18" s="410"/>
      <c r="C18" s="410"/>
      <c r="D18" s="410"/>
      <c r="E18" s="410"/>
      <c r="F18" s="410"/>
      <c r="G18" s="19">
        <v>135</v>
      </c>
      <c r="H18" s="20" t="s">
        <v>2985</v>
      </c>
      <c r="I18" s="71">
        <v>649146</v>
      </c>
      <c r="J18" s="71">
        <v>776804</v>
      </c>
    </row>
    <row r="19" spans="1:10" s="2" customFormat="1" ht="13.5" customHeight="1">
      <c r="A19" s="410" t="s">
        <v>1426</v>
      </c>
      <c r="B19" s="410"/>
      <c r="C19" s="410"/>
      <c r="D19" s="410"/>
      <c r="E19" s="410"/>
      <c r="F19" s="410"/>
      <c r="G19" s="19">
        <v>136</v>
      </c>
      <c r="H19" s="20" t="s">
        <v>2985</v>
      </c>
      <c r="I19" s="71">
        <v>13970802</v>
      </c>
      <c r="J19" s="71">
        <v>17496443</v>
      </c>
    </row>
    <row r="20" spans="1:10" s="2" customFormat="1" ht="13.5" customHeight="1">
      <c r="A20" s="381" t="s">
        <v>1839</v>
      </c>
      <c r="B20" s="381"/>
      <c r="C20" s="381"/>
      <c r="D20" s="381"/>
      <c r="E20" s="381"/>
      <c r="F20" s="381"/>
      <c r="G20" s="19">
        <v>137</v>
      </c>
      <c r="H20" s="20" t="s">
        <v>2985</v>
      </c>
      <c r="I20" s="70">
        <f>SUM(I21:I23)</f>
        <v>24973051</v>
      </c>
      <c r="J20" s="70">
        <f>SUM(J21:J23)</f>
        <v>25846085</v>
      </c>
    </row>
    <row r="21" spans="1:10" s="2" customFormat="1" ht="13.5" customHeight="1">
      <c r="A21" s="410" t="s">
        <v>724</v>
      </c>
      <c r="B21" s="410"/>
      <c r="C21" s="410"/>
      <c r="D21" s="410"/>
      <c r="E21" s="410"/>
      <c r="F21" s="410"/>
      <c r="G21" s="19">
        <v>138</v>
      </c>
      <c r="H21" s="20" t="s">
        <v>2985</v>
      </c>
      <c r="I21" s="71">
        <v>16014489</v>
      </c>
      <c r="J21" s="71">
        <v>16624824</v>
      </c>
    </row>
    <row r="22" spans="1:10" s="2" customFormat="1" ht="13.5" customHeight="1">
      <c r="A22" s="410" t="s">
        <v>961</v>
      </c>
      <c r="B22" s="410"/>
      <c r="C22" s="410"/>
      <c r="D22" s="410"/>
      <c r="E22" s="410"/>
      <c r="F22" s="410"/>
      <c r="G22" s="19">
        <v>139</v>
      </c>
      <c r="H22" s="20" t="s">
        <v>2985</v>
      </c>
      <c r="I22" s="71">
        <v>5304171</v>
      </c>
      <c r="J22" s="71">
        <v>5435744</v>
      </c>
    </row>
    <row r="23" spans="1:10" s="2" customFormat="1" ht="13.5" customHeight="1">
      <c r="A23" s="410" t="s">
        <v>962</v>
      </c>
      <c r="B23" s="410"/>
      <c r="C23" s="410"/>
      <c r="D23" s="410"/>
      <c r="E23" s="410"/>
      <c r="F23" s="410"/>
      <c r="G23" s="19">
        <v>140</v>
      </c>
      <c r="H23" s="20" t="s">
        <v>2985</v>
      </c>
      <c r="I23" s="71">
        <v>3654391</v>
      </c>
      <c r="J23" s="71">
        <v>3785517</v>
      </c>
    </row>
    <row r="24" spans="1:10" s="2" customFormat="1" ht="13.5" customHeight="1">
      <c r="A24" s="381" t="s">
        <v>259</v>
      </c>
      <c r="B24" s="381"/>
      <c r="C24" s="381"/>
      <c r="D24" s="381"/>
      <c r="E24" s="381"/>
      <c r="F24" s="381"/>
      <c r="G24" s="19">
        <v>141</v>
      </c>
      <c r="H24" s="20" t="s">
        <v>2985</v>
      </c>
      <c r="I24" s="71">
        <v>6202195</v>
      </c>
      <c r="J24" s="71">
        <v>6743786</v>
      </c>
    </row>
    <row r="25" spans="1:10" s="2" customFormat="1" ht="13.5" customHeight="1">
      <c r="A25" s="381" t="s">
        <v>260</v>
      </c>
      <c r="B25" s="381"/>
      <c r="C25" s="381"/>
      <c r="D25" s="381"/>
      <c r="E25" s="381"/>
      <c r="F25" s="381"/>
      <c r="G25" s="19">
        <v>142</v>
      </c>
      <c r="H25" s="20" t="s">
        <v>2985</v>
      </c>
      <c r="I25" s="71">
        <v>4974885</v>
      </c>
      <c r="J25" s="71">
        <v>5200029</v>
      </c>
    </row>
    <row r="26" spans="1:12" s="2" customFormat="1" ht="13.5" customHeight="1">
      <c r="A26" s="381" t="s">
        <v>1840</v>
      </c>
      <c r="B26" s="381"/>
      <c r="C26" s="381"/>
      <c r="D26" s="381"/>
      <c r="E26" s="381"/>
      <c r="F26" s="381"/>
      <c r="G26" s="19">
        <v>143</v>
      </c>
      <c r="H26" s="20" t="s">
        <v>2985</v>
      </c>
      <c r="I26" s="70">
        <f>SUM(I27:I28)</f>
        <v>916406</v>
      </c>
      <c r="J26" s="70">
        <f>SUM(J27:J28)</f>
        <v>846705</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t="s">
        <v>2985</v>
      </c>
      <c r="I28" s="71">
        <v>916406</v>
      </c>
      <c r="J28" s="71">
        <v>846705</v>
      </c>
      <c r="L28" s="2" t="s">
        <v>2591</v>
      </c>
    </row>
    <row r="29" spans="1:12" s="2" customFormat="1" ht="13.5" customHeight="1">
      <c r="A29" s="381" t="s">
        <v>1841</v>
      </c>
      <c r="B29" s="381"/>
      <c r="C29" s="381"/>
      <c r="D29" s="381"/>
      <c r="E29" s="381"/>
      <c r="F29" s="381"/>
      <c r="G29" s="19">
        <v>146</v>
      </c>
      <c r="H29" s="20" t="s">
        <v>2985</v>
      </c>
      <c r="I29" s="70">
        <f>SUM(I30:I35)</f>
        <v>274697</v>
      </c>
      <c r="J29" s="70">
        <f>SUM(J30:J35)</f>
        <v>0</v>
      </c>
      <c r="L29" s="2" t="s">
        <v>2591</v>
      </c>
    </row>
    <row r="30" spans="1:12" s="2" customFormat="1" ht="13.5" customHeight="1">
      <c r="A30" s="410" t="s">
        <v>508</v>
      </c>
      <c r="B30" s="410"/>
      <c r="C30" s="410"/>
      <c r="D30" s="410"/>
      <c r="E30" s="410"/>
      <c r="F30" s="410"/>
      <c r="G30" s="19">
        <v>147</v>
      </c>
      <c r="H30" s="20"/>
      <c r="I30" s="71"/>
      <c r="J30" s="71"/>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t="s">
        <v>2985</v>
      </c>
      <c r="I32" s="71">
        <v>274697</v>
      </c>
      <c r="J32" s="71"/>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c r="J35" s="71"/>
      <c r="L35" s="2" t="s">
        <v>2591</v>
      </c>
    </row>
    <row r="36" spans="1:10" s="2" customFormat="1" ht="13.5" customHeight="1">
      <c r="A36" s="381" t="s">
        <v>1692</v>
      </c>
      <c r="B36" s="381"/>
      <c r="C36" s="381"/>
      <c r="D36" s="381"/>
      <c r="E36" s="381"/>
      <c r="F36" s="381"/>
      <c r="G36" s="19">
        <v>153</v>
      </c>
      <c r="H36" s="20" t="s">
        <v>2985</v>
      </c>
      <c r="I36" s="71">
        <v>278203</v>
      </c>
      <c r="J36" s="71">
        <v>144715</v>
      </c>
    </row>
    <row r="37" spans="1:10" s="2" customFormat="1" ht="13.5" customHeight="1">
      <c r="A37" s="383" t="s">
        <v>1842</v>
      </c>
      <c r="B37" s="383"/>
      <c r="C37" s="383"/>
      <c r="D37" s="383"/>
      <c r="E37" s="383"/>
      <c r="F37" s="383"/>
      <c r="G37" s="19">
        <v>154</v>
      </c>
      <c r="H37" s="20" t="s">
        <v>2984</v>
      </c>
      <c r="I37" s="70">
        <f>SUM(I38:I47)</f>
        <v>163686</v>
      </c>
      <c r="J37" s="70">
        <f>SUM(J38:J47)</f>
        <v>106664</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t="s">
        <v>2984</v>
      </c>
      <c r="I44" s="71">
        <v>162987</v>
      </c>
      <c r="J44" s="71">
        <v>104479</v>
      </c>
    </row>
    <row r="45" spans="1:10" s="2" customFormat="1" ht="13.5" customHeight="1">
      <c r="A45" s="381" t="s">
        <v>1428</v>
      </c>
      <c r="B45" s="381"/>
      <c r="C45" s="381"/>
      <c r="D45" s="381"/>
      <c r="E45" s="381"/>
      <c r="F45" s="381"/>
      <c r="G45" s="19">
        <v>162</v>
      </c>
      <c r="H45" s="20" t="s">
        <v>2984</v>
      </c>
      <c r="I45" s="71">
        <v>699</v>
      </c>
      <c r="J45" s="71">
        <v>2185</v>
      </c>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c r="J47" s="71"/>
    </row>
    <row r="48" spans="1:10" s="2" customFormat="1" ht="13.5" customHeight="1">
      <c r="A48" s="383" t="s">
        <v>1843</v>
      </c>
      <c r="B48" s="383"/>
      <c r="C48" s="383"/>
      <c r="D48" s="383"/>
      <c r="E48" s="383"/>
      <c r="F48" s="383"/>
      <c r="G48" s="19">
        <v>165</v>
      </c>
      <c r="H48" s="20" t="s">
        <v>2985</v>
      </c>
      <c r="I48" s="70">
        <f>SUM(I49:I55)</f>
        <v>744676</v>
      </c>
      <c r="J48" s="70">
        <f>SUM(J49:J55)</f>
        <v>696285</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t="s">
        <v>2985</v>
      </c>
      <c r="I51" s="71">
        <v>708327</v>
      </c>
      <c r="J51" s="71">
        <v>588802</v>
      </c>
    </row>
    <row r="52" spans="1:10" s="2" customFormat="1" ht="13.5" customHeight="1">
      <c r="A52" s="404" t="s">
        <v>1439</v>
      </c>
      <c r="B52" s="404"/>
      <c r="C52" s="404"/>
      <c r="D52" s="404"/>
      <c r="E52" s="404"/>
      <c r="F52" s="404"/>
      <c r="G52" s="19">
        <v>169</v>
      </c>
      <c r="H52" s="20" t="s">
        <v>2985</v>
      </c>
      <c r="I52" s="71">
        <v>36349</v>
      </c>
      <c r="J52" s="71">
        <v>107483</v>
      </c>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2591</v>
      </c>
    </row>
    <row r="55" spans="1:10" s="2" customFormat="1" ht="13.5" customHeight="1">
      <c r="A55" s="404" t="s">
        <v>1442</v>
      </c>
      <c r="B55" s="404"/>
      <c r="C55" s="404"/>
      <c r="D55" s="404"/>
      <c r="E55" s="404"/>
      <c r="F55" s="404"/>
      <c r="G55" s="19">
        <v>172</v>
      </c>
      <c r="H55" s="20"/>
      <c r="I55" s="71"/>
      <c r="J55" s="71"/>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t="s">
        <v>2984</v>
      </c>
      <c r="I60" s="70">
        <f>I8+I37+I56+I57</f>
        <v>63011764</v>
      </c>
      <c r="J60" s="70">
        <f>J8+J37+J56+J57</f>
        <v>64318688</v>
      </c>
    </row>
    <row r="61" spans="1:10" s="2" customFormat="1" ht="13.5" customHeight="1">
      <c r="A61" s="383" t="s">
        <v>1845</v>
      </c>
      <c r="B61" s="383"/>
      <c r="C61" s="383"/>
      <c r="D61" s="383"/>
      <c r="E61" s="383"/>
      <c r="F61" s="383"/>
      <c r="G61" s="19">
        <v>178</v>
      </c>
      <c r="H61" s="20" t="s">
        <v>2985</v>
      </c>
      <c r="I61" s="70">
        <f>I14+I48+I58+I59</f>
        <v>62931315</v>
      </c>
      <c r="J61" s="70">
        <f>J14+J48+J58+J59</f>
        <v>67760279</v>
      </c>
    </row>
    <row r="62" spans="1:12" s="2" customFormat="1" ht="13.5" customHeight="1">
      <c r="A62" s="383" t="s">
        <v>2581</v>
      </c>
      <c r="B62" s="383"/>
      <c r="C62" s="383"/>
      <c r="D62" s="383"/>
      <c r="E62" s="383"/>
      <c r="F62" s="383"/>
      <c r="G62" s="19">
        <v>179</v>
      </c>
      <c r="H62" s="20" t="s">
        <v>2986</v>
      </c>
      <c r="I62" s="70">
        <f>I60-I61</f>
        <v>80449</v>
      </c>
      <c r="J62" s="70">
        <f>J60-J61</f>
        <v>-3441591</v>
      </c>
      <c r="L62" s="2" t="s">
        <v>2591</v>
      </c>
    </row>
    <row r="63" spans="1:10" s="2" customFormat="1" ht="13.5" customHeight="1">
      <c r="A63" s="404" t="s">
        <v>2658</v>
      </c>
      <c r="B63" s="404"/>
      <c r="C63" s="404"/>
      <c r="D63" s="404"/>
      <c r="E63" s="404"/>
      <c r="F63" s="404"/>
      <c r="G63" s="19">
        <v>180</v>
      </c>
      <c r="H63" s="20" t="s">
        <v>2986</v>
      </c>
      <c r="I63" s="70">
        <f>IF(I60&gt;I61,I60-I61,0)</f>
        <v>80449</v>
      </c>
      <c r="J63" s="70">
        <f>IF(J60&gt;J61,J60-J61,0)</f>
        <v>0</v>
      </c>
    </row>
    <row r="64" spans="1:10" s="2" customFormat="1" ht="13.5" customHeight="1">
      <c r="A64" s="404" t="s">
        <v>778</v>
      </c>
      <c r="B64" s="404"/>
      <c r="C64" s="404"/>
      <c r="D64" s="404"/>
      <c r="E64" s="404"/>
      <c r="F64" s="404"/>
      <c r="G64" s="19">
        <v>181</v>
      </c>
      <c r="H64" s="20" t="s">
        <v>2986</v>
      </c>
      <c r="I64" s="70">
        <f>IF(I61&gt;I60,I61-I60,0)</f>
        <v>0</v>
      </c>
      <c r="J64" s="70">
        <f>IF(J61&gt;J60,J61-J60,0)</f>
        <v>3441591</v>
      </c>
    </row>
    <row r="65" spans="1:12" s="2" customFormat="1" ht="13.5" customHeight="1">
      <c r="A65" s="383" t="s">
        <v>2620</v>
      </c>
      <c r="B65" s="383"/>
      <c r="C65" s="383"/>
      <c r="D65" s="383"/>
      <c r="E65" s="383"/>
      <c r="F65" s="383"/>
      <c r="G65" s="19">
        <v>182</v>
      </c>
      <c r="H65" s="20"/>
      <c r="I65" s="71"/>
      <c r="J65" s="71"/>
      <c r="L65" s="2" t="s">
        <v>2591</v>
      </c>
    </row>
    <row r="66" spans="1:12" s="2" customFormat="1" ht="13.5" customHeight="1">
      <c r="A66" s="383" t="s">
        <v>2582</v>
      </c>
      <c r="B66" s="383"/>
      <c r="C66" s="383"/>
      <c r="D66" s="383"/>
      <c r="E66" s="383"/>
      <c r="F66" s="383"/>
      <c r="G66" s="19">
        <v>183</v>
      </c>
      <c r="H66" s="20" t="s">
        <v>2986</v>
      </c>
      <c r="I66" s="70">
        <f>I62-I65</f>
        <v>80449</v>
      </c>
      <c r="J66" s="70">
        <f>J62-J65</f>
        <v>-3441591</v>
      </c>
      <c r="L66" s="2" t="s">
        <v>2591</v>
      </c>
    </row>
    <row r="67" spans="1:10" s="2" customFormat="1" ht="13.5" customHeight="1">
      <c r="A67" s="404" t="s">
        <v>779</v>
      </c>
      <c r="B67" s="404"/>
      <c r="C67" s="404"/>
      <c r="D67" s="404"/>
      <c r="E67" s="404"/>
      <c r="F67" s="404"/>
      <c r="G67" s="19">
        <v>184</v>
      </c>
      <c r="H67" s="20" t="s">
        <v>2986</v>
      </c>
      <c r="I67" s="70">
        <f>IF(I66&gt;0,I66,0)</f>
        <v>80449</v>
      </c>
      <c r="J67" s="70">
        <f>IF(J66&gt;0,J66,0)</f>
        <v>0</v>
      </c>
    </row>
    <row r="68" spans="1:10" s="2" customFormat="1" ht="13.5" customHeight="1">
      <c r="A68" s="421" t="s">
        <v>1472</v>
      </c>
      <c r="B68" s="421"/>
      <c r="C68" s="421"/>
      <c r="D68" s="421"/>
      <c r="E68" s="421"/>
      <c r="F68" s="421"/>
      <c r="G68" s="21">
        <v>185</v>
      </c>
      <c r="H68" s="22" t="s">
        <v>2986</v>
      </c>
      <c r="I68" s="85">
        <f>IF(I66&lt;0,-I66,0)</f>
        <v>0</v>
      </c>
      <c r="J68" s="85">
        <f>IF(J66&lt;0,-J66,0)</f>
        <v>3441591</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54:J54 I62:J62 I65:J66 I70:J70 I73:J73 I77:J77 I89:J101 I85:J87 I80:J81 I26:J35">
    <cfRule type="cellIs" priority="1" dxfId="2" operator="notEqual" stopIfTrue="1">
      <formula>ROUND(I15,0)</formula>
    </cfRule>
  </conditionalFormatting>
  <conditionalFormatting sqref="I78:J79 I67:J68 I74:J75 I82:J83 I55:J61 I63:J64 I71:J72 I8:J14 I16:J25 I36:J53">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59" activePane="bottomLeft" state="frozen"/>
      <selection pane="topLeft" activeCell="A1" sqref="A1"/>
      <selection pane="bottomLeft" activeCell="I79" sqref="I79:J82"/>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0</v>
      </c>
      <c r="R1" s="73" t="s">
        <v>539</v>
      </c>
    </row>
    <row r="2" spans="1:18" s="2" customFormat="1" ht="19.5" customHeight="1">
      <c r="A2" s="443" t="s">
        <v>568</v>
      </c>
      <c r="B2" s="444"/>
      <c r="C2" s="444"/>
      <c r="D2" s="444"/>
      <c r="E2" s="444"/>
      <c r="F2" s="444"/>
      <c r="G2" s="444"/>
      <c r="H2" s="444"/>
      <c r="I2" s="445"/>
      <c r="J2" s="385" t="s">
        <v>2593</v>
      </c>
      <c r="Q2" s="74">
        <f>IF(MAX(I9:I88)&gt;0,1,0)</f>
        <v>0</v>
      </c>
      <c r="R2" s="73" t="s">
        <v>2586</v>
      </c>
    </row>
    <row r="3" spans="1:18" s="2" customFormat="1" ht="19.5" customHeight="1" thickBot="1">
      <c r="A3" s="446" t="str">
        <f>"za razdoblje "&amp;IF(RefStr!C4&lt;&gt;"",TEXT(RefStr!C4,"DD.MM.YYYY."),"__.__.____.")&amp;" do "&amp;IF(RefStr!F4&lt;&gt;"",TEXT(RefStr!F4,"DD.MM.YYYY."),"__.__.____.")</f>
        <v>za razdoblje 01.01.2020. do 31.12.2020.</v>
      </c>
      <c r="B3" s="447"/>
      <c r="C3" s="447"/>
      <c r="D3" s="447"/>
      <c r="E3" s="447"/>
      <c r="F3" s="447"/>
      <c r="G3" s="447"/>
      <c r="H3" s="447"/>
      <c r="I3" s="448"/>
      <c r="J3" s="433"/>
      <c r="Q3" s="74">
        <f>IF(MAX(J9:J88)&gt;0,1,0)</f>
        <v>0</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17055681355; KOMUNALAC d.o.o.</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c r="J25" s="94"/>
    </row>
    <row r="26" spans="1:10" s="2" customFormat="1" ht="24.75" customHeight="1">
      <c r="A26" s="404" t="s">
        <v>2215</v>
      </c>
      <c r="B26" s="404"/>
      <c r="C26" s="404"/>
      <c r="D26" s="404"/>
      <c r="E26" s="404"/>
      <c r="F26" s="404"/>
      <c r="G26" s="427"/>
      <c r="H26" s="19">
        <v>232</v>
      </c>
      <c r="I26" s="77"/>
      <c r="J26" s="77"/>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2216</v>
      </c>
      <c r="B33" s="404"/>
      <c r="C33" s="404"/>
      <c r="D33" s="404"/>
      <c r="E33" s="404"/>
      <c r="F33" s="404"/>
      <c r="G33" s="427"/>
      <c r="H33" s="19">
        <v>239</v>
      </c>
      <c r="I33" s="77"/>
      <c r="J33" s="77"/>
    </row>
    <row r="34" spans="1:10" s="2" customFormat="1" ht="36" customHeight="1">
      <c r="A34" s="404" t="s">
        <v>2217</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c r="J35" s="78"/>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c r="J37" s="94"/>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c r="J50" s="77"/>
    </row>
    <row r="51" spans="1:10" s="2" customFormat="1" ht="24.75" customHeight="1">
      <c r="A51" s="404" t="s">
        <v>2219</v>
      </c>
      <c r="B51" s="404"/>
      <c r="C51" s="404"/>
      <c r="D51" s="404"/>
      <c r="E51" s="404"/>
      <c r="F51" s="404"/>
      <c r="G51" s="427"/>
      <c r="H51" s="19">
        <v>253</v>
      </c>
      <c r="I51" s="77"/>
      <c r="J51" s="77"/>
    </row>
    <row r="52" spans="1:10" s="2" customFormat="1" ht="24.75" customHeight="1">
      <c r="A52" s="404" t="s">
        <v>2443</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2434</v>
      </c>
      <c r="B55" s="404"/>
      <c r="C55" s="404"/>
      <c r="D55" s="404"/>
      <c r="E55" s="404"/>
      <c r="F55" s="404"/>
      <c r="G55" s="427"/>
      <c r="H55" s="19">
        <v>257</v>
      </c>
      <c r="I55" s="77"/>
      <c r="J55" s="77"/>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c r="J57" s="77"/>
    </row>
    <row r="58" spans="1:10" s="2" customFormat="1" ht="13.5" customHeight="1">
      <c r="A58" s="404" t="s">
        <v>2436</v>
      </c>
      <c r="B58" s="404"/>
      <c r="C58" s="404"/>
      <c r="D58" s="404"/>
      <c r="E58" s="404"/>
      <c r="F58" s="404"/>
      <c r="G58" s="427"/>
      <c r="H58" s="19">
        <v>260</v>
      </c>
      <c r="I58" s="77"/>
      <c r="J58" s="77"/>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c r="J60" s="77"/>
    </row>
    <row r="61" spans="1:10" s="2" customFormat="1" ht="13.5" customHeight="1">
      <c r="A61" s="431" t="s">
        <v>2445</v>
      </c>
      <c r="B61" s="431"/>
      <c r="C61" s="431"/>
      <c r="D61" s="431"/>
      <c r="E61" s="431"/>
      <c r="F61" s="431"/>
      <c r="G61" s="432"/>
      <c r="H61" s="19">
        <v>263</v>
      </c>
      <c r="I61" s="77"/>
      <c r="J61" s="77"/>
    </row>
    <row r="62" spans="1:10" s="2" customFormat="1" ht="13.5" customHeight="1">
      <c r="A62" s="404" t="s">
        <v>2439</v>
      </c>
      <c r="B62" s="404"/>
      <c r="C62" s="404"/>
      <c r="D62" s="404"/>
      <c r="E62" s="404"/>
      <c r="F62" s="404"/>
      <c r="G62" s="427"/>
      <c r="H62" s="19">
        <v>264</v>
      </c>
      <c r="I62" s="77"/>
      <c r="J62" s="77"/>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c r="J64" s="77"/>
    </row>
    <row r="65" spans="1:10" s="2" customFormat="1" ht="13.5" customHeight="1">
      <c r="A65" s="404" t="s">
        <v>2442</v>
      </c>
      <c r="B65" s="404"/>
      <c r="C65" s="404"/>
      <c r="D65" s="404"/>
      <c r="E65" s="404"/>
      <c r="F65" s="404"/>
      <c r="G65" s="427"/>
      <c r="H65" s="19">
        <v>267</v>
      </c>
      <c r="I65" s="77"/>
      <c r="J65" s="77"/>
    </row>
    <row r="66" spans="1:10" s="2" customFormat="1" ht="13.5" customHeight="1">
      <c r="A66" s="431" t="s">
        <v>2903</v>
      </c>
      <c r="B66" s="431"/>
      <c r="C66" s="431"/>
      <c r="D66" s="431"/>
      <c r="E66" s="431"/>
      <c r="F66" s="431"/>
      <c r="G66" s="432"/>
      <c r="H66" s="19">
        <v>268</v>
      </c>
      <c r="I66" s="77"/>
      <c r="J66" s="77"/>
    </row>
    <row r="67" spans="1:10" s="2" customFormat="1" ht="24.75" customHeight="1">
      <c r="A67" s="404" t="s">
        <v>2220</v>
      </c>
      <c r="B67" s="404"/>
      <c r="C67" s="404"/>
      <c r="D67" s="404"/>
      <c r="E67" s="404"/>
      <c r="F67" s="404"/>
      <c r="G67" s="427"/>
      <c r="H67" s="19">
        <v>269</v>
      </c>
      <c r="I67" s="77"/>
      <c r="J67" s="77"/>
    </row>
    <row r="68" spans="1:10" s="2" customFormat="1" ht="13.5" customHeight="1">
      <c r="A68" s="404" t="s">
        <v>2448</v>
      </c>
      <c r="B68" s="404"/>
      <c r="C68" s="404"/>
      <c r="D68" s="404"/>
      <c r="E68" s="404"/>
      <c r="F68" s="404"/>
      <c r="G68" s="427"/>
      <c r="H68" s="19">
        <v>270</v>
      </c>
      <c r="I68" s="77"/>
      <c r="J68" s="77"/>
    </row>
    <row r="69" spans="1:10" s="2" customFormat="1" ht="13.5" customHeight="1">
      <c r="A69" s="404" t="s">
        <v>2447</v>
      </c>
      <c r="B69" s="404"/>
      <c r="C69" s="404"/>
      <c r="D69" s="404"/>
      <c r="E69" s="404"/>
      <c r="F69" s="404"/>
      <c r="G69" s="427"/>
      <c r="H69" s="19">
        <v>271</v>
      </c>
      <c r="I69" s="77"/>
      <c r="J69" s="77"/>
    </row>
    <row r="70" spans="1:10" s="2" customFormat="1" ht="24.75" customHeight="1">
      <c r="A70" s="404" t="s">
        <v>2446</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c r="J73" s="94"/>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c r="J76" s="78"/>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0</v>
      </c>
      <c r="J78" s="228">
        <f>SUM(J79:J82)</f>
        <v>0</v>
      </c>
    </row>
    <row r="79" spans="1:10" s="2" customFormat="1" ht="13.5" customHeight="1">
      <c r="A79" s="404" t="s">
        <v>629</v>
      </c>
      <c r="B79" s="404"/>
      <c r="C79" s="404"/>
      <c r="D79" s="404"/>
      <c r="E79" s="404"/>
      <c r="F79" s="404"/>
      <c r="G79" s="427"/>
      <c r="H79" s="19">
        <v>279</v>
      </c>
      <c r="I79" s="77"/>
      <c r="J79" s="77"/>
    </row>
    <row r="80" spans="1:10" s="2" customFormat="1" ht="13.5" customHeight="1">
      <c r="A80" s="404" t="s">
        <v>630</v>
      </c>
      <c r="B80" s="404"/>
      <c r="C80" s="404"/>
      <c r="D80" s="404"/>
      <c r="E80" s="404"/>
      <c r="F80" s="404"/>
      <c r="G80" s="427"/>
      <c r="H80" s="19">
        <v>280</v>
      </c>
      <c r="I80" s="77"/>
      <c r="J80" s="77"/>
    </row>
    <row r="81" spans="1:10" s="2" customFormat="1" ht="13.5" customHeight="1">
      <c r="A81" s="404" t="s">
        <v>1</v>
      </c>
      <c r="B81" s="404"/>
      <c r="C81" s="404"/>
      <c r="D81" s="404"/>
      <c r="E81" s="404"/>
      <c r="F81" s="404"/>
      <c r="G81" s="427"/>
      <c r="H81" s="19">
        <v>281</v>
      </c>
      <c r="I81" s="77"/>
      <c r="J81" s="77"/>
    </row>
    <row r="82" spans="1:10" s="2" customFormat="1" ht="36" customHeight="1">
      <c r="A82" s="404" t="s">
        <v>4</v>
      </c>
      <c r="B82" s="404"/>
      <c r="C82" s="404"/>
      <c r="D82" s="404"/>
      <c r="E82" s="404"/>
      <c r="F82" s="404"/>
      <c r="G82" s="427"/>
      <c r="H82" s="19">
        <v>282</v>
      </c>
      <c r="I82" s="77"/>
      <c r="J82" s="77"/>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c r="J84" s="77"/>
    </row>
    <row r="85" spans="1:10" s="2" customFormat="1" ht="24.75" customHeight="1">
      <c r="A85" s="404" t="s">
        <v>2221</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2594</v>
      </c>
      <c r="Q2" s="74">
        <f>IF(OR(MIN(I8:I60)&lt;0,MAX(I8:I60)&gt;0),1,0)</f>
        <v>0</v>
      </c>
      <c r="R2" s="73" t="s">
        <v>2586</v>
      </c>
    </row>
    <row r="3" spans="1:18" s="2" customFormat="1" ht="19.5" customHeight="1" thickBot="1">
      <c r="A3" s="446" t="str">
        <f>"u razdoblju "&amp;IF(RefStr!C4&lt;&gt;"",TEXT(RefStr!C4,"DD.MM.YYYY."),"__.__.____.")&amp;" do "&amp;IF(RefStr!F4&lt;&gt;"",TEXT(RefStr!F4,"DD.MM.YYYY."),"__.__.____.")</f>
        <v>u razdoblju 01.01.2020. do 31.12.2020.</v>
      </c>
      <c r="B3" s="447"/>
      <c r="C3" s="447"/>
      <c r="D3" s="447"/>
      <c r="E3" s="447"/>
      <c r="F3" s="447"/>
      <c r="G3" s="447"/>
      <c r="H3" s="447"/>
      <c r="I3" s="450"/>
      <c r="J3" s="433"/>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17055681355; KOMUNALAC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2335</v>
      </c>
      <c r="B11" s="431"/>
      <c r="C11" s="431"/>
      <c r="D11" s="431"/>
      <c r="E11" s="431"/>
      <c r="F11" s="431"/>
      <c r="G11" s="19">
        <v>3</v>
      </c>
      <c r="H11" s="23"/>
      <c r="I11" s="126"/>
      <c r="J11" s="126"/>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0</v>
      </c>
      <c r="J42" s="86">
        <f>SUM(J37:J41)</f>
        <v>0</v>
      </c>
    </row>
    <row r="43" spans="1:10" s="2" customFormat="1" ht="13.5" customHeight="1">
      <c r="A43" s="455" t="s">
        <v>2511</v>
      </c>
      <c r="B43" s="455"/>
      <c r="C43" s="455"/>
      <c r="D43" s="455"/>
      <c r="E43" s="455"/>
      <c r="F43" s="455"/>
      <c r="G43" s="21">
        <v>34</v>
      </c>
      <c r="H43" s="24"/>
      <c r="I43" s="87">
        <f>I36+I42</f>
        <v>0</v>
      </c>
      <c r="J43" s="87">
        <f>J36+J42</f>
        <v>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2429</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I31" sqref="I3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1</v>
      </c>
      <c r="R1" s="73" t="s">
        <v>539</v>
      </c>
    </row>
    <row r="2" spans="1:18" s="2" customFormat="1" ht="19.5" customHeight="1">
      <c r="A2" s="443" t="s">
        <v>1455</v>
      </c>
      <c r="B2" s="444"/>
      <c r="C2" s="444"/>
      <c r="D2" s="444"/>
      <c r="E2" s="444"/>
      <c r="F2" s="444"/>
      <c r="G2" s="444"/>
      <c r="H2" s="444"/>
      <c r="I2" s="445"/>
      <c r="J2" s="385" t="s">
        <v>2595</v>
      </c>
      <c r="Q2" s="74">
        <f>IF(OR(MIN(I8:I52)&lt;0,MAX(I8:I52)&gt;0),1,0)</f>
        <v>1</v>
      </c>
      <c r="R2" s="73" t="s">
        <v>2586</v>
      </c>
    </row>
    <row r="3" spans="1:18" s="2" customFormat="1" ht="19.5" customHeight="1" thickBot="1">
      <c r="A3" s="446" t="str">
        <f>"u razdoblju "&amp;IF(RefStr!C4&lt;&gt;"",TEXT(RefStr!C4,"DD.MM.YYYY."),"__.__.____.")&amp;" do "&amp;IF(RefStr!F4&lt;&gt;"",TEXT(RefStr!F4,"DD.MM.YYYY."),"__.__.____.")</f>
        <v>u razdoblju 01.01.2020. do 31.12.2020.</v>
      </c>
      <c r="B3" s="447"/>
      <c r="C3" s="447"/>
      <c r="D3" s="447"/>
      <c r="E3" s="447"/>
      <c r="F3" s="447"/>
      <c r="G3" s="447"/>
      <c r="H3" s="447"/>
      <c r="I3" s="448"/>
      <c r="J3" s="433"/>
      <c r="Q3" s="74">
        <f>IF(OR(MIN(J8:J52)&lt;0,MAX(J8:J52)&gt;0),1,0)</f>
        <v>1</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17055681355; KOMUNALAC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t="s">
        <v>2965</v>
      </c>
      <c r="I9" s="94">
        <v>98850319</v>
      </c>
      <c r="J9" s="94">
        <v>99505158</v>
      </c>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t="s">
        <v>2965</v>
      </c>
      <c r="I11" s="77">
        <v>70120</v>
      </c>
      <c r="J11" s="77">
        <v>47872</v>
      </c>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t="s">
        <v>2965</v>
      </c>
      <c r="I13" s="77">
        <v>-33230323</v>
      </c>
      <c r="J13" s="77">
        <v>-37369597</v>
      </c>
    </row>
    <row r="14" spans="1:10" s="2" customFormat="1" ht="13.5" customHeight="1">
      <c r="A14" s="404" t="s">
        <v>1420</v>
      </c>
      <c r="B14" s="404"/>
      <c r="C14" s="404"/>
      <c r="D14" s="404"/>
      <c r="E14" s="404"/>
      <c r="F14" s="404"/>
      <c r="G14" s="19">
        <v>6</v>
      </c>
      <c r="H14" s="23" t="s">
        <v>2965</v>
      </c>
      <c r="I14" s="77">
        <v>-28197798</v>
      </c>
      <c r="J14" s="77">
        <v>-29655917</v>
      </c>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t="s">
        <v>2965</v>
      </c>
      <c r="I16" s="77">
        <v>-33895030</v>
      </c>
      <c r="J16" s="77">
        <v>-25355157</v>
      </c>
    </row>
    <row r="17" spans="1:10" s="2" customFormat="1" ht="13.5" customHeight="1">
      <c r="A17" s="405" t="s">
        <v>2525</v>
      </c>
      <c r="B17" s="405"/>
      <c r="C17" s="405"/>
      <c r="D17" s="405"/>
      <c r="E17" s="405"/>
      <c r="F17" s="405"/>
      <c r="G17" s="19">
        <v>9</v>
      </c>
      <c r="H17" s="23" t="s">
        <v>2965</v>
      </c>
      <c r="I17" s="86">
        <f>SUM(I9:I16)</f>
        <v>3597288</v>
      </c>
      <c r="J17" s="86">
        <f>SUM(J9:J16)</f>
        <v>7172359</v>
      </c>
    </row>
    <row r="18" spans="1:10" s="2" customFormat="1" ht="13.5" customHeight="1">
      <c r="A18" s="404" t="s">
        <v>1829</v>
      </c>
      <c r="B18" s="404"/>
      <c r="C18" s="404"/>
      <c r="D18" s="404"/>
      <c r="E18" s="404"/>
      <c r="F18" s="404"/>
      <c r="G18" s="19">
        <v>10</v>
      </c>
      <c r="H18" s="23" t="s">
        <v>2965</v>
      </c>
      <c r="I18" s="77">
        <v>-385855</v>
      </c>
      <c r="J18" s="77">
        <v>-588802</v>
      </c>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t="s">
        <v>2965</v>
      </c>
      <c r="I20" s="87">
        <f>SUM(I17:I19)</f>
        <v>3211433</v>
      </c>
      <c r="J20" s="87">
        <f>SUM(J17:J19)</f>
        <v>6583557</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t="s">
        <v>2965</v>
      </c>
      <c r="I22" s="94">
        <v>4712</v>
      </c>
      <c r="J22" s="94">
        <v>13147</v>
      </c>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t="s">
        <v>2965</v>
      </c>
      <c r="I24" s="77"/>
      <c r="J24" s="77">
        <v>7746</v>
      </c>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t="s">
        <v>2965</v>
      </c>
      <c r="I26" s="77">
        <v>48764</v>
      </c>
      <c r="J26" s="77">
        <v>34705</v>
      </c>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t="s">
        <v>2965</v>
      </c>
      <c r="I28" s="86">
        <f>SUM(I22:I27)</f>
        <v>53476</v>
      </c>
      <c r="J28" s="86">
        <f>SUM(J22:J27)</f>
        <v>55598</v>
      </c>
    </row>
    <row r="29" spans="1:10" s="2" customFormat="1" ht="15" customHeight="1">
      <c r="A29" s="404" t="s">
        <v>442</v>
      </c>
      <c r="B29" s="404"/>
      <c r="C29" s="404"/>
      <c r="D29" s="404"/>
      <c r="E29" s="404"/>
      <c r="F29" s="404"/>
      <c r="G29" s="19">
        <v>20</v>
      </c>
      <c r="H29" s="23" t="s">
        <v>2965</v>
      </c>
      <c r="I29" s="77">
        <v>-159728</v>
      </c>
      <c r="J29" s="77">
        <v>-839792</v>
      </c>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t="s">
        <v>2965</v>
      </c>
      <c r="I31" s="77">
        <v>0</v>
      </c>
      <c r="J31" s="77">
        <v>-16700</v>
      </c>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t="s">
        <v>2965</v>
      </c>
      <c r="I33" s="77">
        <v>0</v>
      </c>
      <c r="J33" s="77">
        <v>-201460</v>
      </c>
    </row>
    <row r="34" spans="1:10" s="2" customFormat="1" ht="15" customHeight="1">
      <c r="A34" s="405" t="s">
        <v>2119</v>
      </c>
      <c r="B34" s="405"/>
      <c r="C34" s="405"/>
      <c r="D34" s="405"/>
      <c r="E34" s="405"/>
      <c r="F34" s="405"/>
      <c r="G34" s="19">
        <v>25</v>
      </c>
      <c r="H34" s="23" t="s">
        <v>2965</v>
      </c>
      <c r="I34" s="86">
        <f>SUM(I29:I33)</f>
        <v>-159728</v>
      </c>
      <c r="J34" s="86">
        <f>SUM(J29:J33)</f>
        <v>-1057952</v>
      </c>
    </row>
    <row r="35" spans="1:10" s="2" customFormat="1" ht="15" customHeight="1">
      <c r="A35" s="455" t="s">
        <v>11</v>
      </c>
      <c r="B35" s="455"/>
      <c r="C35" s="455"/>
      <c r="D35" s="455"/>
      <c r="E35" s="455"/>
      <c r="F35" s="455"/>
      <c r="G35" s="21">
        <v>26</v>
      </c>
      <c r="H35" s="24" t="s">
        <v>2965</v>
      </c>
      <c r="I35" s="87">
        <f>I28+I34</f>
        <v>-106252</v>
      </c>
      <c r="J35" s="87">
        <f>J28+J34</f>
        <v>-1002354</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t="s">
        <v>2965</v>
      </c>
      <c r="I37" s="94">
        <v>3000000</v>
      </c>
      <c r="J37" s="94">
        <v>0</v>
      </c>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t="s">
        <v>2965</v>
      </c>
      <c r="I39" s="77">
        <v>254079</v>
      </c>
      <c r="J39" s="77">
        <v>0</v>
      </c>
    </row>
    <row r="40" spans="1:10" s="2" customFormat="1" ht="13.5" customHeight="1">
      <c r="A40" s="381" t="s">
        <v>450</v>
      </c>
      <c r="B40" s="381"/>
      <c r="C40" s="381"/>
      <c r="D40" s="381"/>
      <c r="E40" s="381"/>
      <c r="F40" s="381"/>
      <c r="G40" s="19">
        <v>30</v>
      </c>
      <c r="H40" s="23" t="s">
        <v>2965</v>
      </c>
      <c r="I40" s="77">
        <v>38856</v>
      </c>
      <c r="J40" s="77">
        <v>27409</v>
      </c>
    </row>
    <row r="41" spans="1:10" s="2" customFormat="1" ht="15" customHeight="1">
      <c r="A41" s="405" t="s">
        <v>451</v>
      </c>
      <c r="B41" s="405"/>
      <c r="C41" s="405"/>
      <c r="D41" s="405"/>
      <c r="E41" s="405"/>
      <c r="F41" s="405"/>
      <c r="G41" s="19">
        <v>31</v>
      </c>
      <c r="H41" s="23" t="s">
        <v>2965</v>
      </c>
      <c r="I41" s="86">
        <f>SUM(I37:I40)</f>
        <v>3292935</v>
      </c>
      <c r="J41" s="86">
        <f>SUM(J37:J40)</f>
        <v>27409</v>
      </c>
    </row>
    <row r="42" spans="1:10" s="2" customFormat="1" ht="25.5" customHeight="1">
      <c r="A42" s="381" t="s">
        <v>452</v>
      </c>
      <c r="B42" s="381"/>
      <c r="C42" s="381"/>
      <c r="D42" s="381"/>
      <c r="E42" s="381"/>
      <c r="F42" s="381"/>
      <c r="G42" s="19">
        <v>32</v>
      </c>
      <c r="H42" s="23" t="s">
        <v>2965</v>
      </c>
      <c r="I42" s="77">
        <v>-5885090</v>
      </c>
      <c r="J42" s="77">
        <v>-5783369</v>
      </c>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t="s">
        <v>2965</v>
      </c>
      <c r="I46" s="77">
        <v>-11362</v>
      </c>
      <c r="J46" s="77">
        <v>-251936</v>
      </c>
    </row>
    <row r="47" spans="1:10" s="2" customFormat="1" ht="15" customHeight="1">
      <c r="A47" s="405" t="s">
        <v>1835</v>
      </c>
      <c r="B47" s="405"/>
      <c r="C47" s="405"/>
      <c r="D47" s="405"/>
      <c r="E47" s="405"/>
      <c r="F47" s="405"/>
      <c r="G47" s="19">
        <v>37</v>
      </c>
      <c r="H47" s="23" t="s">
        <v>2965</v>
      </c>
      <c r="I47" s="86">
        <f>SUM(I42:I46)</f>
        <v>-5896452</v>
      </c>
      <c r="J47" s="86">
        <f>SUM(J42:J46)</f>
        <v>-6035305</v>
      </c>
    </row>
    <row r="48" spans="1:10" s="2" customFormat="1" ht="15" customHeight="1">
      <c r="A48" s="409" t="s">
        <v>12</v>
      </c>
      <c r="B48" s="409"/>
      <c r="C48" s="409"/>
      <c r="D48" s="409"/>
      <c r="E48" s="409"/>
      <c r="F48" s="409"/>
      <c r="G48" s="19">
        <v>38</v>
      </c>
      <c r="H48" s="23" t="s">
        <v>2965</v>
      </c>
      <c r="I48" s="86">
        <f>I41+I47</f>
        <v>-2603517</v>
      </c>
      <c r="J48" s="86">
        <f>J41+J47</f>
        <v>-6007896</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t="s">
        <v>2965</v>
      </c>
      <c r="I50" s="86">
        <f>I20+I35+I48+I49</f>
        <v>501664</v>
      </c>
      <c r="J50" s="86">
        <f>J20+J35+J48+J49</f>
        <v>-426693</v>
      </c>
    </row>
    <row r="51" spans="1:10" s="2" customFormat="1" ht="13.5" customHeight="1">
      <c r="A51" s="409" t="s">
        <v>2429</v>
      </c>
      <c r="B51" s="409"/>
      <c r="C51" s="409"/>
      <c r="D51" s="409"/>
      <c r="E51" s="409"/>
      <c r="F51" s="409"/>
      <c r="G51" s="19">
        <v>41</v>
      </c>
      <c r="H51" s="23" t="s">
        <v>2965</v>
      </c>
      <c r="I51" s="77">
        <v>2264750</v>
      </c>
      <c r="J51" s="77">
        <v>2766414</v>
      </c>
    </row>
    <row r="52" spans="1:10" s="2" customFormat="1" ht="13.5" customHeight="1">
      <c r="A52" s="455" t="s">
        <v>13</v>
      </c>
      <c r="B52" s="455"/>
      <c r="C52" s="455"/>
      <c r="D52" s="455"/>
      <c r="E52" s="455"/>
      <c r="F52" s="455"/>
      <c r="G52" s="21">
        <v>42</v>
      </c>
      <c r="H52" s="24" t="s">
        <v>2965</v>
      </c>
      <c r="I52" s="87">
        <f>I50+I51</f>
        <v>2766414</v>
      </c>
      <c r="J52" s="87">
        <f>J50+J51</f>
        <v>2339721</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tabSelected="1" zoomScalePageLayoutView="0" workbookViewId="0" topLeftCell="B1">
      <pane ySplit="1" topLeftCell="A2" activePane="bottomLeft" state="frozen"/>
      <selection pane="topLeft" activeCell="A1" sqref="A1"/>
      <selection pane="bottomLeft" activeCell="J26" sqref="J26"/>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1</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1</v>
      </c>
      <c r="AB2" s="3" t="s">
        <v>2598</v>
      </c>
    </row>
    <row r="3" spans="1:28" s="3" customFormat="1" ht="19.5" customHeight="1" thickBot="1">
      <c r="A3" s="476" t="str">
        <f>"za razdoblje od "&amp;IF(RefStr!C4&lt;&gt;"",TEXT(RefStr!C4,"DD.MM.YYYY."),"__.__.____.")&amp;" do "&amp;IF(RefStr!F4&lt;&gt;"",TEXT(RefStr!F4,"DD.MM.YYYY."),"__.__.____.")</f>
        <v>za razdoblje od 01.01.2020. do 31.12.2020.</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1</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17055681355; KOMUNALAC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t="s">
        <v>2966</v>
      </c>
      <c r="I10" s="25">
        <v>57421400</v>
      </c>
      <c r="J10" s="25"/>
      <c r="K10" s="25"/>
      <c r="L10" s="25"/>
      <c r="M10" s="25"/>
      <c r="N10" s="25"/>
      <c r="O10" s="25">
        <v>721591</v>
      </c>
      <c r="P10" s="25"/>
      <c r="Q10" s="25"/>
      <c r="R10" s="25"/>
      <c r="S10" s="25"/>
      <c r="T10" s="25">
        <v>-6571613</v>
      </c>
      <c r="U10" s="25"/>
      <c r="V10" s="207">
        <f>SUM(I10:L10)-M10+SUM(N10:U10)</f>
        <v>51571378</v>
      </c>
      <c r="W10" s="25"/>
      <c r="X10" s="207">
        <f>W10+V10</f>
        <v>51571378</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t="s">
        <v>2966</v>
      </c>
      <c r="I13" s="207">
        <f>SUM(I10:I12)</f>
        <v>57421400</v>
      </c>
      <c r="J13" s="207">
        <f aca="true" t="shared" si="2" ref="J13:U13">SUM(J10:J12)</f>
        <v>0</v>
      </c>
      <c r="K13" s="207">
        <f t="shared" si="2"/>
        <v>0</v>
      </c>
      <c r="L13" s="207">
        <f t="shared" si="2"/>
        <v>0</v>
      </c>
      <c r="M13" s="207">
        <f t="shared" si="2"/>
        <v>0</v>
      </c>
      <c r="N13" s="207">
        <f t="shared" si="2"/>
        <v>0</v>
      </c>
      <c r="O13" s="207">
        <f t="shared" si="2"/>
        <v>721591</v>
      </c>
      <c r="P13" s="207">
        <f t="shared" si="2"/>
        <v>0</v>
      </c>
      <c r="Q13" s="207">
        <f t="shared" si="2"/>
        <v>0</v>
      </c>
      <c r="R13" s="207">
        <f t="shared" si="2"/>
        <v>0</v>
      </c>
      <c r="S13" s="207">
        <f t="shared" si="2"/>
        <v>0</v>
      </c>
      <c r="T13" s="207">
        <f t="shared" si="2"/>
        <v>-6571613</v>
      </c>
      <c r="U13" s="207">
        <f t="shared" si="2"/>
        <v>0</v>
      </c>
      <c r="V13" s="207">
        <f t="shared" si="0"/>
        <v>51571378</v>
      </c>
      <c r="W13" s="207">
        <f>SUM(W10:W12)</f>
        <v>0</v>
      </c>
      <c r="X13" s="207">
        <f t="shared" si="1"/>
        <v>51571378</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v>80449</v>
      </c>
      <c r="V14" s="207">
        <f t="shared" si="0"/>
        <v>80449</v>
      </c>
      <c r="W14" s="25"/>
      <c r="X14" s="207">
        <f t="shared" si="1"/>
        <v>80449</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t="s">
        <v>2966</v>
      </c>
      <c r="I24" s="25">
        <v>3000000</v>
      </c>
      <c r="J24" s="25"/>
      <c r="K24" s="25"/>
      <c r="L24" s="25"/>
      <c r="M24" s="25"/>
      <c r="N24" s="25"/>
      <c r="O24" s="25"/>
      <c r="P24" s="25"/>
      <c r="Q24" s="25"/>
      <c r="R24" s="25"/>
      <c r="S24" s="25"/>
      <c r="T24" s="25"/>
      <c r="U24" s="25"/>
      <c r="V24" s="207">
        <f t="shared" si="0"/>
        <v>3000000</v>
      </c>
      <c r="W24" s="25"/>
      <c r="X24" s="207">
        <f t="shared" si="1"/>
        <v>3000000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t="s">
        <v>2966</v>
      </c>
      <c r="I32" s="206">
        <f>SUM(I13:I31)</f>
        <v>60421400</v>
      </c>
      <c r="J32" s="206">
        <f aca="true" t="shared" si="3" ref="J32:U32">SUM(J13:J31)</f>
        <v>0</v>
      </c>
      <c r="K32" s="206">
        <f t="shared" si="3"/>
        <v>0</v>
      </c>
      <c r="L32" s="206">
        <f t="shared" si="3"/>
        <v>0</v>
      </c>
      <c r="M32" s="206">
        <f t="shared" si="3"/>
        <v>0</v>
      </c>
      <c r="N32" s="206">
        <f t="shared" si="3"/>
        <v>0</v>
      </c>
      <c r="O32" s="206">
        <f t="shared" si="3"/>
        <v>721591</v>
      </c>
      <c r="P32" s="206">
        <f t="shared" si="3"/>
        <v>0</v>
      </c>
      <c r="Q32" s="206">
        <f t="shared" si="3"/>
        <v>0</v>
      </c>
      <c r="R32" s="206">
        <f t="shared" si="3"/>
        <v>0</v>
      </c>
      <c r="S32" s="206">
        <f t="shared" si="3"/>
        <v>0</v>
      </c>
      <c r="T32" s="206">
        <f t="shared" si="3"/>
        <v>-6571613</v>
      </c>
      <c r="U32" s="206">
        <f t="shared" si="3"/>
        <v>80449</v>
      </c>
      <c r="V32" s="206">
        <f t="shared" si="0"/>
        <v>54651827</v>
      </c>
      <c r="W32" s="206">
        <f>SUM(W13:W31)</f>
        <v>0</v>
      </c>
      <c r="X32" s="206">
        <f t="shared" si="1"/>
        <v>54651827</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t="s">
        <v>2966</v>
      </c>
      <c r="I36" s="206">
        <f aca="true" t="shared" si="8" ref="I36:N36">SUM(I24:I31)</f>
        <v>3000000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t="s">
        <v>2966</v>
      </c>
      <c r="I38" s="25">
        <v>60421400</v>
      </c>
      <c r="J38" s="25"/>
      <c r="K38" s="25"/>
      <c r="L38" s="25"/>
      <c r="M38" s="25"/>
      <c r="N38" s="25"/>
      <c r="O38" s="25">
        <v>721591</v>
      </c>
      <c r="P38" s="25"/>
      <c r="Q38" s="25"/>
      <c r="R38" s="25"/>
      <c r="S38" s="25"/>
      <c r="T38" s="25">
        <v>-6491164</v>
      </c>
      <c r="U38" s="25"/>
      <c r="V38" s="207">
        <f aca="true" t="shared" si="10" ref="V38:V60">SUM(I38:L38)-M38+SUM(N38:U38)</f>
        <v>54651827</v>
      </c>
      <c r="W38" s="25"/>
      <c r="X38" s="207">
        <f t="shared" si="1"/>
        <v>54651827</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t="s">
        <v>2966</v>
      </c>
      <c r="I41" s="207">
        <f aca="true" t="shared" si="11" ref="I41:U41">SUM(I38:I40)</f>
        <v>60421400</v>
      </c>
      <c r="J41" s="207">
        <f t="shared" si="11"/>
        <v>0</v>
      </c>
      <c r="K41" s="207">
        <f t="shared" si="11"/>
        <v>0</v>
      </c>
      <c r="L41" s="207">
        <f t="shared" si="11"/>
        <v>0</v>
      </c>
      <c r="M41" s="207">
        <f t="shared" si="11"/>
        <v>0</v>
      </c>
      <c r="N41" s="207">
        <f t="shared" si="11"/>
        <v>0</v>
      </c>
      <c r="O41" s="207">
        <f t="shared" si="11"/>
        <v>721591</v>
      </c>
      <c r="P41" s="207">
        <f t="shared" si="11"/>
        <v>0</v>
      </c>
      <c r="Q41" s="207">
        <f t="shared" si="11"/>
        <v>0</v>
      </c>
      <c r="R41" s="207">
        <f t="shared" si="11"/>
        <v>0</v>
      </c>
      <c r="S41" s="207">
        <f t="shared" si="11"/>
        <v>0</v>
      </c>
      <c r="T41" s="207">
        <f t="shared" si="11"/>
        <v>-6491164</v>
      </c>
      <c r="U41" s="207">
        <f t="shared" si="11"/>
        <v>0</v>
      </c>
      <c r="V41" s="207">
        <f t="shared" si="10"/>
        <v>54651827</v>
      </c>
      <c r="W41" s="207">
        <f>SUM(W38:W40)</f>
        <v>0</v>
      </c>
      <c r="X41" s="207">
        <f>W41+V41</f>
        <v>54651827</v>
      </c>
      <c r="AE41" s="139"/>
    </row>
    <row r="42" spans="1:31" ht="13.5" customHeight="1">
      <c r="A42" s="463" t="s">
        <v>1465</v>
      </c>
      <c r="B42" s="463"/>
      <c r="C42" s="463"/>
      <c r="D42" s="463"/>
      <c r="E42" s="463"/>
      <c r="F42" s="463"/>
      <c r="G42" s="204">
        <v>31</v>
      </c>
      <c r="H42" s="132" t="s">
        <v>2966</v>
      </c>
      <c r="I42" s="217"/>
      <c r="J42" s="217"/>
      <c r="K42" s="217"/>
      <c r="L42" s="217"/>
      <c r="M42" s="217"/>
      <c r="N42" s="217"/>
      <c r="O42" s="217"/>
      <c r="P42" s="217"/>
      <c r="Q42" s="217"/>
      <c r="R42" s="217"/>
      <c r="S42" s="217"/>
      <c r="T42" s="217"/>
      <c r="U42" s="25">
        <v>-3441591</v>
      </c>
      <c r="V42" s="207">
        <f t="shared" si="10"/>
        <v>-3441591</v>
      </c>
      <c r="W42" s="25"/>
      <c r="X42" s="207">
        <f t="shared" si="1"/>
        <v>-3441591</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t="s">
        <v>2966</v>
      </c>
      <c r="I60" s="206">
        <f aca="true" t="shared" si="12" ref="I60:U60">SUM(I41:I59)</f>
        <v>60421400</v>
      </c>
      <c r="J60" s="206">
        <f t="shared" si="12"/>
        <v>0</v>
      </c>
      <c r="K60" s="206">
        <f t="shared" si="12"/>
        <v>0</v>
      </c>
      <c r="L60" s="206">
        <f t="shared" si="12"/>
        <v>0</v>
      </c>
      <c r="M60" s="206">
        <f t="shared" si="12"/>
        <v>0</v>
      </c>
      <c r="N60" s="206">
        <f t="shared" si="12"/>
        <v>0</v>
      </c>
      <c r="O60" s="206">
        <f t="shared" si="12"/>
        <v>721591</v>
      </c>
      <c r="P60" s="206">
        <f t="shared" si="12"/>
        <v>0</v>
      </c>
      <c r="Q60" s="206">
        <f t="shared" si="12"/>
        <v>0</v>
      </c>
      <c r="R60" s="206">
        <f t="shared" si="12"/>
        <v>0</v>
      </c>
      <c r="S60" s="206">
        <f t="shared" si="12"/>
        <v>0</v>
      </c>
      <c r="T60" s="206">
        <f t="shared" si="12"/>
        <v>-6491164</v>
      </c>
      <c r="U60" s="206">
        <f t="shared" si="12"/>
        <v>-3441591</v>
      </c>
      <c r="V60" s="206">
        <f t="shared" si="10"/>
        <v>51210236</v>
      </c>
      <c r="W60" s="206">
        <f>SUM(W41:W59)</f>
        <v>0</v>
      </c>
      <c r="X60" s="206">
        <f t="shared" si="1"/>
        <v>51210236</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Ljerka Duvnjak</cp:lastModifiedBy>
  <cp:lastPrinted>2021-07-21T10:39:26Z</cp:lastPrinted>
  <dcterms:created xsi:type="dcterms:W3CDTF">2008-10-17T11:51:54Z</dcterms:created>
  <dcterms:modified xsi:type="dcterms:W3CDTF">2021-07-21T10:53:46Z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